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872" firstSheet="8" activeTab="8"/>
  </bookViews>
  <sheets>
    <sheet name="caract. soplantes" sheetId="1" r:id="rId1"/>
    <sheet name="censo población" sheetId="14" r:id="rId2"/>
    <sheet name="curva regresión censo" sheetId="18" r:id="rId3"/>
    <sheet name="consumo soplantes" sheetId="2" r:id="rId4"/>
    <sheet name="consumo turboc." sheetId="3" r:id="rId5"/>
    <sheet name="Soplantes vs turbo" sheetId="9" r:id="rId6"/>
    <sheet name="Ahorro Energetico" sheetId="4" r:id="rId7"/>
    <sheet name="diferencia economica" sheetId="10" r:id="rId8"/>
    <sheet name="Presupuesto plataforma" sheetId="5" r:id="rId9"/>
    <sheet name="Presupuesto equipos de medida" sheetId="6" r:id="rId10"/>
    <sheet name="presupuesto final sist control" sheetId="7" r:id="rId11"/>
    <sheet name="presupuesto turbocompresor" sheetId="8" r:id="rId12"/>
    <sheet name="presupuesto TOTAL" sheetId="13" r:id="rId13"/>
    <sheet name="periodo retorno total" sheetId="12" r:id="rId14"/>
  </sheets>
  <externalReferences>
    <externalReference r:id="rId15"/>
  </externalReferences>
  <calcPr calcId="125725"/>
</workbook>
</file>

<file path=xl/calcChain.xml><?xml version="1.0" encoding="utf-8"?>
<calcChain xmlns="http://schemas.openxmlformats.org/spreadsheetml/2006/main">
  <c r="C13" i="12"/>
  <c r="E8"/>
  <c r="E6" l="1"/>
  <c r="D26" i="14"/>
  <c r="I7" i="13"/>
  <c r="I8" s="1"/>
  <c r="I6"/>
  <c r="I5"/>
  <c r="C38" i="8"/>
  <c r="C37"/>
  <c r="C36"/>
  <c r="C35"/>
  <c r="H6"/>
  <c r="H8" s="1"/>
  <c r="H29"/>
  <c r="H30" s="1"/>
  <c r="H38" s="1"/>
  <c r="H22"/>
  <c r="H23"/>
  <c r="H21"/>
  <c r="P4"/>
  <c r="O12"/>
  <c r="P9" s="1"/>
  <c r="I7" i="12"/>
  <c r="I5"/>
  <c r="F7"/>
  <c r="E7"/>
  <c r="H7" l="1"/>
  <c r="H24" i="8"/>
  <c r="H37" s="1"/>
  <c r="H35"/>
  <c r="P15"/>
  <c r="H36" s="1"/>
  <c r="H16" i="7"/>
  <c r="H14"/>
  <c r="H12"/>
  <c r="H10"/>
  <c r="H8"/>
  <c r="H6"/>
  <c r="H4"/>
  <c r="H18" i="6"/>
  <c r="H15"/>
  <c r="H12"/>
  <c r="H9"/>
  <c r="H6"/>
  <c r="I46" i="5"/>
  <c r="I29"/>
  <c r="I19"/>
  <c r="I10"/>
  <c r="B4" i="4"/>
  <c r="B3"/>
  <c r="S6" i="3"/>
  <c r="S5"/>
  <c r="O14"/>
  <c r="P14" s="1"/>
  <c r="O13"/>
  <c r="P6"/>
  <c r="O6"/>
  <c r="P5"/>
  <c r="O5"/>
  <c r="H8"/>
  <c r="G8"/>
  <c r="F8"/>
  <c r="E8"/>
  <c r="D8"/>
  <c r="C8"/>
  <c r="J11" i="2"/>
  <c r="J10"/>
  <c r="J9"/>
  <c r="F17"/>
  <c r="G17" s="1"/>
  <c r="G16"/>
  <c r="F16"/>
  <c r="F5"/>
  <c r="G5"/>
  <c r="G4"/>
  <c r="G3"/>
  <c r="F4"/>
  <c r="F3"/>
  <c r="Q42" i="1"/>
  <c r="R42"/>
  <c r="S42"/>
  <c r="T42"/>
  <c r="P42"/>
  <c r="H4" i="4" l="1"/>
  <c r="C7" i="10"/>
  <c r="H3" i="4"/>
  <c r="C6" i="10"/>
  <c r="C8" s="1"/>
  <c r="G6" i="12" s="1"/>
  <c r="B5" i="4"/>
  <c r="H39" i="8"/>
  <c r="J26" s="1"/>
  <c r="L30" s="1"/>
  <c r="S7" i="3"/>
  <c r="O15"/>
  <c r="P13"/>
  <c r="P15" s="1"/>
  <c r="O7"/>
  <c r="P7"/>
  <c r="F18" i="2"/>
  <c r="G18"/>
  <c r="E13" i="12" l="1"/>
  <c r="G8"/>
  <c r="H6"/>
  <c r="F6"/>
  <c r="F8" s="1"/>
  <c r="H5" i="4"/>
  <c r="I6" i="12" s="1"/>
  <c r="I8" s="1"/>
  <c r="F17" l="1"/>
  <c r="H8"/>
</calcChain>
</file>

<file path=xl/sharedStrings.xml><?xml version="1.0" encoding="utf-8"?>
<sst xmlns="http://schemas.openxmlformats.org/spreadsheetml/2006/main" count="374" uniqueCount="229">
  <si>
    <t>Caudal diario</t>
  </si>
  <si>
    <t>Caudal Medio diario</t>
  </si>
  <si>
    <t>Caudal Punta</t>
  </si>
  <si>
    <t>Caudal Minimo</t>
  </si>
  <si>
    <t>Caudal admisible en P</t>
  </si>
  <si>
    <t>C. admisible en biologico</t>
  </si>
  <si>
    <t>m3/día</t>
  </si>
  <si>
    <t>m3/h</t>
  </si>
  <si>
    <t>CAUDALES DE DISEÑO</t>
  </si>
  <si>
    <t>CARGA CONTAMINANTE DE ENTRADA</t>
  </si>
  <si>
    <t>Concentración media DBO5</t>
  </si>
  <si>
    <t>Materia en suspensión(SS)</t>
  </si>
  <si>
    <t>mg/l</t>
  </si>
  <si>
    <t>RESULTADOS PREVISTOS</t>
  </si>
  <si>
    <t>Reducción DBO5</t>
  </si>
  <si>
    <t>Reducción SS</t>
  </si>
  <si>
    <t>Ph</t>
  </si>
  <si>
    <t>Sequedad del fango %</t>
  </si>
  <si>
    <t>%</t>
  </si>
  <si>
    <t>≤70</t>
  </si>
  <si>
    <t>≤75</t>
  </si>
  <si>
    <t>≤6,5 y 9</t>
  </si>
  <si>
    <t>≤25</t>
  </si>
  <si>
    <t>Frecuencia</t>
  </si>
  <si>
    <t>Hz</t>
  </si>
  <si>
    <t>Velociada</t>
  </si>
  <si>
    <t>Rpm</t>
  </si>
  <si>
    <t>Qaspirado</t>
  </si>
  <si>
    <t>Sm3/h</t>
  </si>
  <si>
    <t>Pot. Eje</t>
  </si>
  <si>
    <t>Kw</t>
  </si>
  <si>
    <t>EDAR SANTA POLA</t>
  </si>
  <si>
    <t>Caudal de aire (Nm3/d)</t>
  </si>
  <si>
    <t>Caudal de aire (Nm3/hr)</t>
  </si>
  <si>
    <t>Mínima 1</t>
  </si>
  <si>
    <t>Mínima 2</t>
  </si>
  <si>
    <t>Mínima 3</t>
  </si>
  <si>
    <t>Media 1</t>
  </si>
  <si>
    <t>Media 2</t>
  </si>
  <si>
    <t>Media 3</t>
  </si>
  <si>
    <t>Máxima 1</t>
  </si>
  <si>
    <t>Máxima 2</t>
  </si>
  <si>
    <t>Máxima 3</t>
  </si>
  <si>
    <t>SALIDAS</t>
  </si>
  <si>
    <t>Velocida</t>
  </si>
  <si>
    <t>Qproporcionado</t>
  </si>
  <si>
    <t>Pot. Eje motor</t>
  </si>
  <si>
    <t>Pot. Eje Paquete</t>
  </si>
  <si>
    <t>SER</t>
  </si>
  <si>
    <t>sm3/h</t>
  </si>
  <si>
    <t>Nm3/h</t>
  </si>
  <si>
    <t>Kwh/Nm3</t>
  </si>
  <si>
    <t>Equipo</t>
  </si>
  <si>
    <t>Soplante GM 150 S</t>
  </si>
  <si>
    <t>TOTAL</t>
  </si>
  <si>
    <t>Q</t>
  </si>
  <si>
    <t>Unidades</t>
  </si>
  <si>
    <t>Funcionamiento</t>
  </si>
  <si>
    <t>P</t>
  </si>
  <si>
    <t>h/d</t>
  </si>
  <si>
    <t>E Consumida</t>
  </si>
  <si>
    <t>Kwh/d</t>
  </si>
  <si>
    <t>Kwh/estival</t>
  </si>
  <si>
    <t>Tiempo Funci.</t>
  </si>
  <si>
    <t>EPOCA</t>
  </si>
  <si>
    <t>Energía Consumida</t>
  </si>
  <si>
    <t>Kwh</t>
  </si>
  <si>
    <t>Estival</t>
  </si>
  <si>
    <t>Resto del año</t>
  </si>
  <si>
    <t>Total</t>
  </si>
  <si>
    <t>rpm</t>
  </si>
  <si>
    <t>Turbo HST 6000 1L</t>
  </si>
  <si>
    <t>Kwh/año</t>
  </si>
  <si>
    <t>MÓDULO 1 - GESTIÓN Y ADQUISICIÓN DE DATOS</t>
  </si>
  <si>
    <t>Unidad</t>
  </si>
  <si>
    <t>Programación de las variables necesarias</t>
  </si>
  <si>
    <t>Servidor para adquisición de variables PLC</t>
  </si>
  <si>
    <t>Service, pantalla TFT19 fujitsu, SAI y licencia windows 7 server</t>
  </si>
  <si>
    <t>TOTAL módulo 1</t>
  </si>
  <si>
    <t>Precio (€)</t>
  </si>
  <si>
    <t>Licencia RADMIN Server control  remoto</t>
  </si>
  <si>
    <t>MÓDULO 2 - CONTROL</t>
  </si>
  <si>
    <t xml:space="preserve">Control del sistema de aireación en modo ORBAL </t>
  </si>
  <si>
    <t>para la optimización de la eliminación de nutrientes ( modalidad 1 reactor)</t>
  </si>
  <si>
    <t>Lazo de control de aireadores - oximetro como control auxiliar</t>
  </si>
  <si>
    <t>del sistema para el control de la concentración OD en los canales</t>
  </si>
  <si>
    <t>Total Módulo 2</t>
  </si>
  <si>
    <t>MÓDULO 3 - GESTIÓN ENERGETICA</t>
  </si>
  <si>
    <t>Registro consumo de equipos</t>
  </si>
  <si>
    <t>Registro horas de funcionamiento por periodo tarifarioy hora.</t>
  </si>
  <si>
    <t>Registro de consumos unitarios por período y hora.</t>
  </si>
  <si>
    <t>Exportación de datos a hoja de calculo.</t>
  </si>
  <si>
    <t xml:space="preserve">Representación gráfica del consumo horario de la EDAR </t>
  </si>
  <si>
    <t>Total Módulo 3</t>
  </si>
  <si>
    <t>MÓDULO 4 - AYUDA A LA DECISIÓN</t>
  </si>
  <si>
    <t>Planes de actuación</t>
  </si>
  <si>
    <t xml:space="preserve">Estado de las variables de operación y exposición de los motivos por los </t>
  </si>
  <si>
    <t>cuales se está llevando a cabo una determinada acción.</t>
  </si>
  <si>
    <t>Generación de informes - Adquisición y gestión de datos</t>
  </si>
  <si>
    <t xml:space="preserve">Generación de informes de los datos adqueridos por el sistema </t>
  </si>
  <si>
    <t>a distintas escalas temporales</t>
  </si>
  <si>
    <t>Generación de informes - Control</t>
  </si>
  <si>
    <t xml:space="preserve">Generación de informes de los lazos de control: resumen de la </t>
  </si>
  <si>
    <t>información mas relevante del control instalados en el sistema.</t>
  </si>
  <si>
    <t>Generación de informes - Gestión energética</t>
  </si>
  <si>
    <t>Generación de informes de consumo energético de la EDAR, información</t>
  </si>
  <si>
    <t>má relevante referente al consumo de equipos.</t>
  </si>
  <si>
    <t>EQUIPOS DE MEDIDA</t>
  </si>
  <si>
    <t>Descripción</t>
  </si>
  <si>
    <t>Precio Ud.</t>
  </si>
  <si>
    <t>Sonda de amonio de electrodo selectivo HACH LANGE</t>
  </si>
  <si>
    <t xml:space="preserve">Set de montaje para instalación de la sonda en inmersión </t>
  </si>
  <si>
    <t>inoxidable para la instalación sobre barana, pared o suelo.</t>
  </si>
  <si>
    <t>Hach Lange Ref. LXV401.99.00001</t>
  </si>
  <si>
    <t>Hach Lange Ref. LXV440.99.10001</t>
  </si>
  <si>
    <t xml:space="preserve"> Rango de medida 0 - 1000 mg/l NH4-N, k+</t>
  </si>
  <si>
    <t>Hach Lange Ref. 6184900.99.0000</t>
  </si>
  <si>
    <t>Controlador de 2 canales SC100 para la conexión de</t>
  </si>
  <si>
    <t>las sondas RedOx de cada reactor.</t>
  </si>
  <si>
    <t>TOTAL - Equipos de medida y complementos</t>
  </si>
  <si>
    <t>Subtotal Módulo 1 - Adquisición de datos</t>
  </si>
  <si>
    <t>Subtotal Módulo 2 - Control</t>
  </si>
  <si>
    <t>Subtotal Módulo 3 - Gestión energética</t>
  </si>
  <si>
    <t>Subtotal Módulo 4 - Ayuda a la decisión</t>
  </si>
  <si>
    <t>Total Plataforma - EDAR</t>
  </si>
  <si>
    <t>Total equipos de medida</t>
  </si>
  <si>
    <t xml:space="preserve">TOTAL SISTEMA DE CONTROL </t>
  </si>
  <si>
    <t>TURBOCOMPRESORES</t>
  </si>
  <si>
    <t>Precio Un.</t>
  </si>
  <si>
    <t xml:space="preserve">Precio (€) </t>
  </si>
  <si>
    <t>Turbocompresor ABS HST 150kw</t>
  </si>
  <si>
    <t>MATERIALES</t>
  </si>
  <si>
    <t>Tuberia de admisión:</t>
  </si>
  <si>
    <t>gm150</t>
  </si>
  <si>
    <t>hst150</t>
  </si>
  <si>
    <t>Lp</t>
  </si>
  <si>
    <t>HsT 300</t>
  </si>
  <si>
    <t>Total (Kwh/año)</t>
  </si>
  <si>
    <t>Ahorro Economico</t>
  </si>
  <si>
    <t xml:space="preserve">Considera precio Kwh </t>
  </si>
  <si>
    <t>€/año</t>
  </si>
  <si>
    <t>Ahorro/año</t>
  </si>
  <si>
    <t>COSTE DEL SISTEMA</t>
  </si>
  <si>
    <t>AHORRO MENSUAL ESTIMADO</t>
  </si>
  <si>
    <t>PERIODO DE RETORNO</t>
  </si>
  <si>
    <t>Ahorro Total</t>
  </si>
  <si>
    <t>ratio</t>
  </si>
  <si>
    <t>Kg CO2/Kwh</t>
  </si>
  <si>
    <t>Producción CO2</t>
  </si>
  <si>
    <t xml:space="preserve">Coste del </t>
  </si>
  <si>
    <t xml:space="preserve">Ahorro </t>
  </si>
  <si>
    <t>Ahorro</t>
  </si>
  <si>
    <t xml:space="preserve">Periodo </t>
  </si>
  <si>
    <t>Sistema</t>
  </si>
  <si>
    <t>Energético</t>
  </si>
  <si>
    <t>Económico</t>
  </si>
  <si>
    <t>Retorno</t>
  </si>
  <si>
    <t>Medioambiental</t>
  </si>
  <si>
    <t>Cambio de soplantes</t>
  </si>
  <si>
    <t>Sistema de Control</t>
  </si>
  <si>
    <t>Kw/año</t>
  </si>
  <si>
    <t>€</t>
  </si>
  <si>
    <t>años</t>
  </si>
  <si>
    <t>1 m tubo recto DN 250 acero galvanizado</t>
  </si>
  <si>
    <t>Brida DN 250</t>
  </si>
  <si>
    <t>bridas DN 200</t>
  </si>
  <si>
    <t>1 m tubo recto DN200 de acero galvanizado</t>
  </si>
  <si>
    <t>2 codo de 90\ DN 200</t>
  </si>
  <si>
    <t>collarín DN 200</t>
  </si>
  <si>
    <t>Tubería de Salida:</t>
  </si>
  <si>
    <t>Collarín DN 250</t>
  </si>
  <si>
    <t>Tornillería de acero inoxidable</t>
  </si>
  <si>
    <t>Unid. (h)</t>
  </si>
  <si>
    <t>Oficial de 1 categoría</t>
  </si>
  <si>
    <t>Oficial de 2 categoría</t>
  </si>
  <si>
    <t>Oficial de 3 categoría</t>
  </si>
  <si>
    <t>DISEÑO DEL PROYECTO</t>
  </si>
  <si>
    <t>EJECUCIÓN DE LA OBRA</t>
  </si>
  <si>
    <t>Estudio de optimización</t>
  </si>
  <si>
    <t>TOTAL SUSTITUCIÓN DE SOPLANTES</t>
  </si>
  <si>
    <t>2,6 años</t>
  </si>
  <si>
    <t>TOTAL ESTUDIO DE EFICIENCIA</t>
  </si>
  <si>
    <t>SUSTITUCIÓN DE SOPLANTES</t>
  </si>
  <si>
    <t>SISTEMA DE CONTROL</t>
  </si>
  <si>
    <t>IVA</t>
  </si>
  <si>
    <t>AÑO</t>
  </si>
  <si>
    <t>HABITANTES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</si>
  <si>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</si>
  <si>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</si>
  <si>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</si>
  <si>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</si>
  <si>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</si>
  <si>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</si>
  <si>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</si>
  <si>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</si>
  <si>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Regresión</t>
  </si>
  <si>
    <t>Residuos</t>
  </si>
  <si>
    <t>Intercepción</t>
  </si>
  <si>
    <t>Grados de libertad</t>
  </si>
  <si>
    <t>Suma de cuadrados</t>
  </si>
  <si>
    <t>Promedio de los cuadrados</t>
  </si>
  <si>
    <t>F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</si>
  <si>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</si>
  <si>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</si>
  <si>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</si>
  <si>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</si>
  <si>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</si>
  <si>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</si>
  <si>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95,0%</t>
  </si>
  <si>
    <t>Superior 95,0%</t>
  </si>
  <si>
    <t>Variable X 1</t>
  </si>
  <si>
    <t>Análisis de los residuales</t>
  </si>
  <si>
    <t>Observación</t>
  </si>
  <si>
    <t>Pronóstico para Y</t>
  </si>
  <si>
    <t>Coste del Sistema</t>
  </si>
  <si>
    <t>Ahorro mensual estimado (aprox.)</t>
  </si>
  <si>
    <t>Período de retorno</t>
  </si>
  <si>
    <t>Aireación</t>
  </si>
  <si>
    <t>22.131.7 – 27664.6 €/año</t>
  </si>
  <si>
    <t>1 – 1.2 años</t>
  </si>
  <si>
    <t>Dosificación de coagulante</t>
  </si>
  <si>
    <t>2630 €/año</t>
  </si>
  <si>
    <t>Kwh/r.año</t>
  </si>
  <si>
    <t>consumo en epoca estival</t>
  </si>
  <si>
    <t>consumo para el resto del año</t>
  </si>
  <si>
    <t>energia total consumida</t>
  </si>
  <si>
    <t>Kwh/r año</t>
  </si>
  <si>
    <t>caracteristicas de   los turbocompresores de levitacion magnetica</t>
  </si>
  <si>
    <t>2,4  años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</si>
</sst>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"/>
    <numFmt numFmtId="165" formatCode="0.0000"/>
    <numFmt numFmtId="166" formatCode="#,##0.00\ &quot;€&quot;"/>
    <numFmt numFmtId="167" formatCode="#,##0.0\ &quot;€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3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0" fontId="0" fillId="0" borderId="4" xfId="0" applyBorder="1"/>
    <xf numFmtId="3" fontId="0" fillId="0" borderId="4" xfId="0" applyNumberFormat="1" applyBorder="1"/>
    <xf numFmtId="0" fontId="0" fillId="0" borderId="5" xfId="0" applyBorder="1"/>
    <xf numFmtId="3" fontId="0" fillId="0" borderId="0" xfId="0" applyNumberFormat="1" applyFill="1" applyBorder="1"/>
    <xf numFmtId="3" fontId="0" fillId="0" borderId="4" xfId="0" applyNumberFormat="1" applyFill="1" applyBorder="1"/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3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6" xfId="0" applyFill="1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/>
    <xf numFmtId="0" fontId="0" fillId="2" borderId="27" xfId="0" applyFill="1" applyBorder="1"/>
    <xf numFmtId="0" fontId="0" fillId="2" borderId="21" xfId="0" applyFill="1" applyBorder="1" applyAlignment="1">
      <alignment horizontal="center"/>
    </xf>
    <xf numFmtId="0" fontId="2" fillId="0" borderId="22" xfId="0" applyFont="1" applyBorder="1"/>
    <xf numFmtId="164" fontId="2" fillId="0" borderId="24" xfId="0" applyNumberFormat="1" applyFont="1" applyBorder="1"/>
    <xf numFmtId="3" fontId="0" fillId="0" borderId="28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2" fillId="2" borderId="18" xfId="0" applyFont="1" applyFill="1" applyBorder="1"/>
    <xf numFmtId="0" fontId="2" fillId="0" borderId="18" xfId="0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1" xfId="0" applyNumberFormat="1" applyBorder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64" fontId="2" fillId="0" borderId="8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41" xfId="0" applyBorder="1"/>
    <xf numFmtId="0" fontId="0" fillId="0" borderId="13" xfId="0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9" xfId="0" applyNumberForma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164" fontId="2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4" fontId="4" fillId="0" borderId="8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166" fontId="0" fillId="0" borderId="8" xfId="0" applyNumberFormat="1" applyBorder="1"/>
    <xf numFmtId="167" fontId="2" fillId="0" borderId="24" xfId="0" applyNumberFormat="1" applyFont="1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3" fontId="0" fillId="0" borderId="10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48" xfId="0" applyNumberFormat="1" applyFont="1" applyBorder="1" applyAlignment="1">
      <alignment horizontal="center" vertical="center"/>
    </xf>
    <xf numFmtId="164" fontId="0" fillId="0" borderId="49" xfId="0" applyNumberFormat="1" applyFont="1" applyBorder="1" applyAlignment="1">
      <alignment horizontal="center" vertical="center"/>
    </xf>
    <xf numFmtId="164" fontId="0" fillId="0" borderId="5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164" fontId="0" fillId="0" borderId="48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8" fontId="0" fillId="0" borderId="0" xfId="0" applyNumberFormat="1"/>
    <xf numFmtId="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/>
    <xf numFmtId="0" fontId="0" fillId="0" borderId="4" xfId="0" applyFill="1" applyBorder="1" applyAlignment="1"/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NumberFormat="1"/>
    <xf numFmtId="3" fontId="0" fillId="0" borderId="5" xfId="0" applyNumberFormat="1" applyFill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48" xfId="0" applyNumberFormat="1" applyFont="1" applyBorder="1" applyAlignment="1">
      <alignment horizontal="center" vertical="center"/>
    </xf>
    <xf numFmtId="164" fontId="0" fillId="0" borderId="49" xfId="0" applyNumberFormat="1" applyFont="1" applyBorder="1" applyAlignment="1">
      <alignment horizontal="center" vertical="center"/>
    </xf>
    <xf numFmtId="164" fontId="0" fillId="0" borderId="50" xfId="0" applyNumberFormat="1" applyFon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0" fillId="0" borderId="51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55" xfId="0" applyNumberFormat="1" applyFon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8" fontId="0" fillId="0" borderId="50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8" fontId="3" fillId="0" borderId="11" xfId="0" applyNumberFormat="1" applyFont="1" applyBorder="1" applyAlignment="1">
      <alignment horizontal="center" vertical="center"/>
    </xf>
    <xf numFmtId="8" fontId="3" fillId="0" borderId="59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v>Habitantes</c:v>
          </c:tx>
          <c:marker>
            <c:symbol val="none"/>
          </c:marker>
          <c:cat>
            <c:numRef>
              <c:f>'censo población'!$B$8:$B$22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cat>
          <c:val>
            <c:numRef>
              <c:f>'censo población'!$C$8:$C$22</c:f>
              <c:numCache>
                <c:formatCode>#,##0</c:formatCode>
                <c:ptCount val="15"/>
                <c:pt idx="0">
                  <c:v>17600</c:v>
                </c:pt>
                <c:pt idx="1">
                  <c:v>18253</c:v>
                </c:pt>
                <c:pt idx="2">
                  <c:v>18922</c:v>
                </c:pt>
                <c:pt idx="3">
                  <c:v>19720</c:v>
                </c:pt>
                <c:pt idx="4">
                  <c:v>20965</c:v>
                </c:pt>
                <c:pt idx="5">
                  <c:v>22253</c:v>
                </c:pt>
                <c:pt idx="6">
                  <c:v>23220</c:v>
                </c:pt>
                <c:pt idx="7">
                  <c:v>25494</c:v>
                </c:pt>
                <c:pt idx="8">
                  <c:v>27521</c:v>
                </c:pt>
                <c:pt idx="9">
                  <c:v>29221</c:v>
                </c:pt>
                <c:pt idx="10">
                  <c:v>30987</c:v>
                </c:pt>
                <c:pt idx="11">
                  <c:v>31760</c:v>
                </c:pt>
                <c:pt idx="12">
                  <c:v>32507</c:v>
                </c:pt>
                <c:pt idx="13">
                  <c:v>33372</c:v>
                </c:pt>
                <c:pt idx="14">
                  <c:v>33965</c:v>
                </c:pt>
              </c:numCache>
            </c:numRef>
          </c:val>
        </c:ser>
        <c:marker val="1"/>
        <c:axId val="146604032"/>
        <c:axId val="146605568"/>
      </c:lineChart>
      <c:catAx>
        <c:axId val="146604032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crossAx val="146605568"/>
        <c:crosses val="autoZero"/>
        <c:auto val="1"/>
        <c:lblAlgn val="ctr"/>
        <c:lblOffset val="100"/>
      </c:catAx>
      <c:valAx>
        <c:axId val="146605568"/>
        <c:scaling>
          <c:orientation val="minMax"/>
        </c:scaling>
        <c:axPos val="l"/>
        <c:majorGridlines/>
        <c:numFmt formatCode="#,##0" sourceLinked="1"/>
        <c:tickLblPos val="nextTo"/>
        <c:crossAx val="146604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Censo población </a:t>
            </a:r>
          </a:p>
          <a:p>
            <a:pPr>
              <a:defRPr/>
            </a:pPr>
            <a:r>
              <a:rPr lang="es-ES"/>
              <a:t>Curva de regresión ajustada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'censo población'!$B$8:$B$22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'censo población'!$C$8:$C$22</c:f>
              <c:numCache>
                <c:formatCode>#,##0</c:formatCode>
                <c:ptCount val="15"/>
                <c:pt idx="0">
                  <c:v>17600</c:v>
                </c:pt>
                <c:pt idx="1">
                  <c:v>18253</c:v>
                </c:pt>
                <c:pt idx="2">
                  <c:v>18922</c:v>
                </c:pt>
                <c:pt idx="3">
                  <c:v>19720</c:v>
                </c:pt>
                <c:pt idx="4">
                  <c:v>20965</c:v>
                </c:pt>
                <c:pt idx="5">
                  <c:v>22253</c:v>
                </c:pt>
                <c:pt idx="6">
                  <c:v>23220</c:v>
                </c:pt>
                <c:pt idx="7">
                  <c:v>25494</c:v>
                </c:pt>
                <c:pt idx="8">
                  <c:v>27521</c:v>
                </c:pt>
                <c:pt idx="9">
                  <c:v>29221</c:v>
                </c:pt>
                <c:pt idx="10">
                  <c:v>30987</c:v>
                </c:pt>
                <c:pt idx="11">
                  <c:v>31760</c:v>
                </c:pt>
                <c:pt idx="12">
                  <c:v>32507</c:v>
                </c:pt>
                <c:pt idx="13">
                  <c:v>33372</c:v>
                </c:pt>
                <c:pt idx="14">
                  <c:v>33965</c:v>
                </c:pt>
              </c:numCache>
            </c:numRef>
          </c:yVal>
        </c:ser>
        <c:ser>
          <c:idx val="1"/>
          <c:order val="1"/>
          <c:tx>
            <c:v>Pronóstico para Y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4525185719774082"/>
                  <c:y val="0.4477504316595085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600" baseline="0"/>
                      <a:t>y = 1320,2x - 3E+06
R² = 1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'censo población'!$B$8:$B$22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'curva regresión censo'!$B$25:$B$39</c:f>
              <c:numCache>
                <c:formatCode>General</c:formatCode>
                <c:ptCount val="15"/>
                <c:pt idx="0">
                  <c:v>16475.908333333209</c:v>
                </c:pt>
                <c:pt idx="1">
                  <c:v>17796.111904761754</c:v>
                </c:pt>
                <c:pt idx="2">
                  <c:v>19116.315476190299</c:v>
                </c:pt>
                <c:pt idx="3">
                  <c:v>20436.519047618844</c:v>
                </c:pt>
                <c:pt idx="4">
                  <c:v>21756.722619047388</c:v>
                </c:pt>
                <c:pt idx="5">
                  <c:v>23076.926190475933</c:v>
                </c:pt>
                <c:pt idx="6">
                  <c:v>24397.129761904478</c:v>
                </c:pt>
                <c:pt idx="7">
                  <c:v>25717.333333333489</c:v>
                </c:pt>
                <c:pt idx="8">
                  <c:v>27037.536904762033</c:v>
                </c:pt>
                <c:pt idx="9">
                  <c:v>28357.740476190578</c:v>
                </c:pt>
                <c:pt idx="10">
                  <c:v>29677.944047619123</c:v>
                </c:pt>
                <c:pt idx="11">
                  <c:v>30998.147619047668</c:v>
                </c:pt>
                <c:pt idx="12">
                  <c:v>32318.351190476213</c:v>
                </c:pt>
                <c:pt idx="13">
                  <c:v>33638.554761904757</c:v>
                </c:pt>
                <c:pt idx="14">
                  <c:v>34958.758333333302</c:v>
                </c:pt>
              </c:numCache>
            </c:numRef>
          </c:yVal>
        </c:ser>
        <c:axId val="146949632"/>
        <c:axId val="146951552"/>
      </c:scatterChart>
      <c:valAx>
        <c:axId val="146949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Variable X 1</a:t>
                </a:r>
              </a:p>
            </c:rich>
          </c:tx>
          <c:layout/>
        </c:title>
        <c:numFmt formatCode="General" sourceLinked="1"/>
        <c:tickLblPos val="nextTo"/>
        <c:crossAx val="146951552"/>
        <c:crosses val="autoZero"/>
        <c:crossBetween val="midCat"/>
      </c:valAx>
      <c:valAx>
        <c:axId val="14695155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</a:t>
                </a:r>
              </a:p>
            </c:rich>
          </c:tx>
          <c:layout/>
        </c:title>
        <c:numFmt formatCode="#,##0" sourceLinked="1"/>
        <c:tickLblPos val="nextTo"/>
        <c:crossAx val="146949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303230393054497"/>
          <c:y val="0.30402037421591538"/>
          <c:w val="0.23772734290566624"/>
          <c:h val="0.23754237616849638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Soplantes  VS  Turbocompresores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'Soplantes vs turbo'!$O$9:$O$27</c:f>
              <c:numCache>
                <c:formatCode>General</c:formatCode>
                <c:ptCount val="19"/>
                <c:pt idx="0">
                  <c:v>1000</c:v>
                </c:pt>
                <c:pt idx="1">
                  <c:v>1800</c:v>
                </c:pt>
                <c:pt idx="2">
                  <c:v>3000</c:v>
                </c:pt>
                <c:pt idx="3">
                  <c:v>4000</c:v>
                </c:pt>
                <c:pt idx="4">
                  <c:v>4500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13500</c:v>
                </c:pt>
                <c:pt idx="15">
                  <c:v>14000</c:v>
                </c:pt>
                <c:pt idx="16">
                  <c:v>14500</c:v>
                </c:pt>
                <c:pt idx="17">
                  <c:v>15100</c:v>
                </c:pt>
                <c:pt idx="18">
                  <c:v>16000</c:v>
                </c:pt>
              </c:numCache>
            </c:numRef>
          </c:cat>
          <c:val>
            <c:numRef>
              <c:f>'Soplantes vs turbo'!$P$9:$P$27</c:f>
              <c:numCache>
                <c:formatCode>General</c:formatCode>
                <c:ptCount val="19"/>
                <c:pt idx="4">
                  <c:v>112</c:v>
                </c:pt>
                <c:pt idx="5">
                  <c:v>130</c:v>
                </c:pt>
                <c:pt idx="6">
                  <c:v>155</c:v>
                </c:pt>
                <c:pt idx="7">
                  <c:v>183</c:v>
                </c:pt>
                <c:pt idx="8">
                  <c:v>212</c:v>
                </c:pt>
                <c:pt idx="9">
                  <c:v>236</c:v>
                </c:pt>
                <c:pt idx="10">
                  <c:v>265</c:v>
                </c:pt>
                <c:pt idx="11">
                  <c:v>285</c:v>
                </c:pt>
                <c:pt idx="12">
                  <c:v>312</c:v>
                </c:pt>
                <c:pt idx="13">
                  <c:v>340</c:v>
                </c:pt>
                <c:pt idx="14">
                  <c:v>355</c:v>
                </c:pt>
                <c:pt idx="15">
                  <c:v>370</c:v>
                </c:pt>
                <c:pt idx="16">
                  <c:v>382</c:v>
                </c:pt>
                <c:pt idx="17">
                  <c:v>400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'Soplantes vs turbo'!$O$9:$O$27</c:f>
              <c:numCache>
                <c:formatCode>General</c:formatCode>
                <c:ptCount val="19"/>
                <c:pt idx="0">
                  <c:v>1000</c:v>
                </c:pt>
                <c:pt idx="1">
                  <c:v>1800</c:v>
                </c:pt>
                <c:pt idx="2">
                  <c:v>3000</c:v>
                </c:pt>
                <c:pt idx="3">
                  <c:v>4000</c:v>
                </c:pt>
                <c:pt idx="4">
                  <c:v>4500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13500</c:v>
                </c:pt>
                <c:pt idx="15">
                  <c:v>14000</c:v>
                </c:pt>
                <c:pt idx="16">
                  <c:v>14500</c:v>
                </c:pt>
                <c:pt idx="17">
                  <c:v>15100</c:v>
                </c:pt>
                <c:pt idx="18">
                  <c:v>16000</c:v>
                </c:pt>
              </c:numCache>
            </c:numRef>
          </c:cat>
          <c:val>
            <c:numRef>
              <c:f>'Soplantes vs turbo'!$Q$9:$Q$27</c:f>
              <c:numCache>
                <c:formatCode>General</c:formatCode>
                <c:ptCount val="19"/>
                <c:pt idx="2">
                  <c:v>70</c:v>
                </c:pt>
                <c:pt idx="3">
                  <c:v>85</c:v>
                </c:pt>
                <c:pt idx="4">
                  <c:v>94</c:v>
                </c:pt>
                <c:pt idx="5">
                  <c:v>108</c:v>
                </c:pt>
                <c:pt idx="6">
                  <c:v>125</c:v>
                </c:pt>
                <c:pt idx="7">
                  <c:v>150</c:v>
                </c:pt>
                <c:pt idx="8">
                  <c:v>170</c:v>
                </c:pt>
                <c:pt idx="9">
                  <c:v>190</c:v>
                </c:pt>
                <c:pt idx="10">
                  <c:v>212</c:v>
                </c:pt>
                <c:pt idx="11">
                  <c:v>238</c:v>
                </c:pt>
                <c:pt idx="12">
                  <c:v>265</c:v>
                </c:pt>
                <c:pt idx="13">
                  <c:v>280</c:v>
                </c:pt>
                <c:pt idx="14">
                  <c:v>300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numRef>
              <c:f>'Soplantes vs turbo'!$O$9:$O$27</c:f>
              <c:numCache>
                <c:formatCode>General</c:formatCode>
                <c:ptCount val="19"/>
                <c:pt idx="0">
                  <c:v>1000</c:v>
                </c:pt>
                <c:pt idx="1">
                  <c:v>1800</c:v>
                </c:pt>
                <c:pt idx="2">
                  <c:v>3000</c:v>
                </c:pt>
                <c:pt idx="3">
                  <c:v>4000</c:v>
                </c:pt>
                <c:pt idx="4">
                  <c:v>4500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13500</c:v>
                </c:pt>
                <c:pt idx="15">
                  <c:v>14000</c:v>
                </c:pt>
                <c:pt idx="16">
                  <c:v>14500</c:v>
                </c:pt>
                <c:pt idx="17">
                  <c:v>15100</c:v>
                </c:pt>
                <c:pt idx="18">
                  <c:v>16000</c:v>
                </c:pt>
              </c:numCache>
            </c:numRef>
          </c:cat>
          <c:val>
            <c:numRef>
              <c:f>'Soplantes vs turbo'!$R$9:$R$27</c:f>
              <c:numCache>
                <c:formatCode>General</c:formatCode>
                <c:ptCount val="19"/>
                <c:pt idx="1">
                  <c:v>35</c:v>
                </c:pt>
                <c:pt idx="2">
                  <c:v>65</c:v>
                </c:pt>
                <c:pt idx="3">
                  <c:v>80</c:v>
                </c:pt>
                <c:pt idx="4">
                  <c:v>88</c:v>
                </c:pt>
                <c:pt idx="5">
                  <c:v>100</c:v>
                </c:pt>
                <c:pt idx="6">
                  <c:v>115</c:v>
                </c:pt>
                <c:pt idx="7">
                  <c:v>150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225</c:v>
                </c:pt>
                <c:pt idx="12">
                  <c:v>250</c:v>
                </c:pt>
                <c:pt idx="13">
                  <c:v>270</c:v>
                </c:pt>
                <c:pt idx="14">
                  <c:v>290</c:v>
                </c:pt>
                <c:pt idx="15">
                  <c:v>320</c:v>
                </c:pt>
                <c:pt idx="16">
                  <c:v>345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numRef>
              <c:f>'Soplantes vs turbo'!$O$9:$O$27</c:f>
              <c:numCache>
                <c:formatCode>General</c:formatCode>
                <c:ptCount val="19"/>
                <c:pt idx="0">
                  <c:v>1000</c:v>
                </c:pt>
                <c:pt idx="1">
                  <c:v>1800</c:v>
                </c:pt>
                <c:pt idx="2">
                  <c:v>3000</c:v>
                </c:pt>
                <c:pt idx="3">
                  <c:v>4000</c:v>
                </c:pt>
                <c:pt idx="4">
                  <c:v>4500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13500</c:v>
                </c:pt>
                <c:pt idx="15">
                  <c:v>14000</c:v>
                </c:pt>
                <c:pt idx="16">
                  <c:v>14500</c:v>
                </c:pt>
                <c:pt idx="17">
                  <c:v>15100</c:v>
                </c:pt>
                <c:pt idx="18">
                  <c:v>16000</c:v>
                </c:pt>
              </c:numCache>
            </c:numRef>
          </c:cat>
          <c:val>
            <c:numRef>
              <c:f>'Soplantes vs turbo'!$S$9:$S$27</c:f>
              <c:numCache>
                <c:formatCode>General</c:formatCode>
                <c:ptCount val="19"/>
                <c:pt idx="6">
                  <c:v>126</c:v>
                </c:pt>
                <c:pt idx="7">
                  <c:v>142</c:v>
                </c:pt>
                <c:pt idx="8">
                  <c:v>159</c:v>
                </c:pt>
                <c:pt idx="9">
                  <c:v>175</c:v>
                </c:pt>
                <c:pt idx="10">
                  <c:v>190</c:v>
                </c:pt>
                <c:pt idx="11">
                  <c:v>214</c:v>
                </c:pt>
                <c:pt idx="12">
                  <c:v>240</c:v>
                </c:pt>
                <c:pt idx="13">
                  <c:v>260</c:v>
                </c:pt>
                <c:pt idx="14">
                  <c:v>279</c:v>
                </c:pt>
                <c:pt idx="15">
                  <c:v>291</c:v>
                </c:pt>
                <c:pt idx="16">
                  <c:v>300</c:v>
                </c:pt>
              </c:numCache>
            </c:numRef>
          </c:val>
        </c:ser>
        <c:marker val="1"/>
        <c:axId val="147316736"/>
        <c:axId val="147318656"/>
      </c:lineChart>
      <c:catAx>
        <c:axId val="147316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Caudal Proporcionado (Nm3/h)</a:t>
                </a:r>
              </a:p>
            </c:rich>
          </c:tx>
          <c:layout/>
        </c:title>
        <c:numFmt formatCode="General" sourceLinked="1"/>
        <c:majorTickMark val="none"/>
        <c:minorTickMark val="out"/>
        <c:tickLblPos val="nextTo"/>
        <c:crossAx val="147318656"/>
        <c:crosses val="autoZero"/>
        <c:auto val="1"/>
        <c:lblAlgn val="ctr"/>
        <c:lblOffset val="100"/>
        <c:tickLblSkip val="1"/>
        <c:tickMarkSkip val="1"/>
      </c:catAx>
      <c:valAx>
        <c:axId val="147318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Potencia consumo</a:t>
                </a:r>
                <a:r>
                  <a:rPr lang="es-ES" baseline="0"/>
                  <a:t> (Kw)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147316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Energía Consumida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GM 150 S</c:v>
          </c:tx>
          <c:cat>
            <c:strRef>
              <c:f>('consumo soplantes'!$I$9,'consumo soplantes'!$I$10,'consumo soplantes'!$I$11)</c:f>
              <c:strCache>
                <c:ptCount val="3"/>
                <c:pt idx="0">
                  <c:v>Estival</c:v>
                </c:pt>
                <c:pt idx="1">
                  <c:v>Resto del año</c:v>
                </c:pt>
                <c:pt idx="2">
                  <c:v>Total (Kwh/año)</c:v>
                </c:pt>
              </c:strCache>
            </c:strRef>
          </c:cat>
          <c:val>
            <c:numRef>
              <c:f>'consumo soplantes'!$J$9:$J$11</c:f>
              <c:numCache>
                <c:formatCode>#,##0.0</c:formatCode>
                <c:ptCount val="3"/>
                <c:pt idx="0">
                  <c:v>357603.60000000003</c:v>
                </c:pt>
                <c:pt idx="1">
                  <c:v>1083982.5</c:v>
                </c:pt>
                <c:pt idx="2">
                  <c:v>1441586.1</c:v>
                </c:pt>
              </c:numCache>
            </c:numRef>
          </c:val>
        </c:ser>
        <c:ser>
          <c:idx val="1"/>
          <c:order val="1"/>
          <c:tx>
            <c:v>HST 150 L</c:v>
          </c:tx>
          <c:cat>
            <c:strRef>
              <c:f>('consumo soplantes'!$I$9,'consumo soplantes'!$I$10,'consumo soplantes'!$I$11)</c:f>
              <c:strCache>
                <c:ptCount val="3"/>
                <c:pt idx="0">
                  <c:v>Estival</c:v>
                </c:pt>
                <c:pt idx="1">
                  <c:v>Resto del año</c:v>
                </c:pt>
                <c:pt idx="2">
                  <c:v>Total (Kwh/año)</c:v>
                </c:pt>
              </c:strCache>
            </c:strRef>
          </c:cat>
          <c:val>
            <c:numRef>
              <c:f>'consumo turboc.'!$S$5:$S$7</c:f>
              <c:numCache>
                <c:formatCode>#,##0.0</c:formatCode>
                <c:ptCount val="3"/>
                <c:pt idx="0">
                  <c:v>293768.40000000002</c:v>
                </c:pt>
                <c:pt idx="1">
                  <c:v>929907</c:v>
                </c:pt>
                <c:pt idx="2">
                  <c:v>1223675.3999999999</c:v>
                </c:pt>
              </c:numCache>
            </c:numRef>
          </c:val>
        </c:ser>
        <c:axId val="147340288"/>
        <c:axId val="147370752"/>
      </c:barChart>
      <c:catAx>
        <c:axId val="147340288"/>
        <c:scaling>
          <c:orientation val="minMax"/>
        </c:scaling>
        <c:axPos val="b"/>
        <c:majorTickMark val="none"/>
        <c:tickLblPos val="nextTo"/>
        <c:crossAx val="147370752"/>
        <c:crosses val="autoZero"/>
        <c:auto val="1"/>
        <c:lblAlgn val="ctr"/>
        <c:lblOffset val="100"/>
      </c:catAx>
      <c:valAx>
        <c:axId val="147370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 sz="1600"/>
                  <a:t>Kwh</a:t>
                </a:r>
              </a:p>
            </c:rich>
          </c:tx>
          <c:layout/>
        </c:title>
        <c:numFmt formatCode="#,##0.0" sourceLinked="1"/>
        <c:tickLblPos val="nextTo"/>
        <c:crossAx val="147340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Ahorro medioambiental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'Ahorro Energetico'!$G$3</c:f>
              <c:strCache>
                <c:ptCount val="1"/>
                <c:pt idx="0">
                  <c:v>Soplante GM 150 S</c:v>
                </c:pt>
              </c:strCache>
            </c:strRef>
          </c:tx>
          <c:val>
            <c:numRef>
              <c:f>'Ahorro Energetico'!$H$3</c:f>
              <c:numCache>
                <c:formatCode>#,##0.0</c:formatCode>
                <c:ptCount val="1"/>
                <c:pt idx="0">
                  <c:v>174431.91810000001</c:v>
                </c:pt>
              </c:numCache>
            </c:numRef>
          </c:val>
        </c:ser>
        <c:ser>
          <c:idx val="1"/>
          <c:order val="1"/>
          <c:tx>
            <c:strRef>
              <c:f>'Ahorro Energetico'!$G$4</c:f>
              <c:strCache>
                <c:ptCount val="1"/>
                <c:pt idx="0">
                  <c:v>Turbo HST 6000 1L</c:v>
                </c:pt>
              </c:strCache>
            </c:strRef>
          </c:tx>
          <c:val>
            <c:numRef>
              <c:f>'Ahorro Energetico'!$H$4</c:f>
              <c:numCache>
                <c:formatCode>#,##0.0</c:formatCode>
                <c:ptCount val="1"/>
                <c:pt idx="0">
                  <c:v>148064.72339999999</c:v>
                </c:pt>
              </c:numCache>
            </c:numRef>
          </c:val>
        </c:ser>
        <c:ser>
          <c:idx val="2"/>
          <c:order val="2"/>
          <c:tx>
            <c:strRef>
              <c:f>'Ahorro Energetico'!$G$5</c:f>
              <c:strCache>
                <c:ptCount val="1"/>
                <c:pt idx="0">
                  <c:v>Ahorro Total</c:v>
                </c:pt>
              </c:strCache>
            </c:strRef>
          </c:tx>
          <c:val>
            <c:numRef>
              <c:f>'Ahorro Energetico'!$H$5</c:f>
              <c:numCache>
                <c:formatCode>#,##0.0</c:formatCode>
                <c:ptCount val="1"/>
                <c:pt idx="0">
                  <c:v>26367.194700000022</c:v>
                </c:pt>
              </c:numCache>
            </c:numRef>
          </c:val>
        </c:ser>
        <c:axId val="147470592"/>
        <c:axId val="147480576"/>
      </c:barChart>
      <c:catAx>
        <c:axId val="147470592"/>
        <c:scaling>
          <c:orientation val="minMax"/>
        </c:scaling>
        <c:axPos val="b"/>
        <c:majorTickMark val="none"/>
        <c:tickLblPos val="nextTo"/>
        <c:crossAx val="147480576"/>
        <c:crosses val="autoZero"/>
        <c:auto val="1"/>
        <c:lblAlgn val="ctr"/>
        <c:lblOffset val="100"/>
      </c:catAx>
      <c:valAx>
        <c:axId val="147480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Kg</a:t>
                </a:r>
                <a:r>
                  <a:rPr lang="es-ES" baseline="0"/>
                  <a:t> CO2/Kwh</a:t>
                </a:r>
                <a:endParaRPr lang="es-ES"/>
              </a:p>
            </c:rich>
          </c:tx>
          <c:layout/>
        </c:title>
        <c:numFmt formatCode="#,##0.0" sourceLinked="1"/>
        <c:tickLblPos val="nextTo"/>
        <c:crossAx val="147470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DIFERENCIA ECONÓMICA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Gm 150 S</c:v>
          </c:tx>
          <c:cat>
            <c:strRef>
              <c:f>'diferencia economica'!$C$5</c:f>
              <c:strCache>
                <c:ptCount val="1"/>
                <c:pt idx="0">
                  <c:v>€/año</c:v>
                </c:pt>
              </c:strCache>
            </c:strRef>
          </c:cat>
          <c:val>
            <c:numRef>
              <c:f>'diferencia economica'!$C$6</c:f>
              <c:numCache>
                <c:formatCode>#,##0.0</c:formatCode>
                <c:ptCount val="1"/>
                <c:pt idx="0">
                  <c:v>245069.63700000005</c:v>
                </c:pt>
              </c:numCache>
            </c:numRef>
          </c:val>
        </c:ser>
        <c:ser>
          <c:idx val="1"/>
          <c:order val="1"/>
          <c:tx>
            <c:v>HST 150 L</c:v>
          </c:tx>
          <c:cat>
            <c:strRef>
              <c:f>'diferencia economica'!$C$5</c:f>
              <c:strCache>
                <c:ptCount val="1"/>
                <c:pt idx="0">
                  <c:v>€/año</c:v>
                </c:pt>
              </c:strCache>
            </c:strRef>
          </c:cat>
          <c:val>
            <c:numRef>
              <c:f>'diferencia economica'!$C$7</c:f>
              <c:numCache>
                <c:formatCode>#,##0.0</c:formatCode>
                <c:ptCount val="1"/>
                <c:pt idx="0">
                  <c:v>208024.818</c:v>
                </c:pt>
              </c:numCache>
            </c:numRef>
          </c:val>
        </c:ser>
        <c:axId val="147563264"/>
        <c:axId val="147564800"/>
      </c:barChart>
      <c:catAx>
        <c:axId val="147563264"/>
        <c:scaling>
          <c:orientation val="minMax"/>
        </c:scaling>
        <c:axPos val="b"/>
        <c:majorTickMark val="none"/>
        <c:tickLblPos val="nextTo"/>
        <c:crossAx val="147564800"/>
        <c:crosses val="autoZero"/>
        <c:auto val="1"/>
        <c:lblAlgn val="ctr"/>
        <c:lblOffset val="100"/>
      </c:catAx>
      <c:valAx>
        <c:axId val="147564800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147563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6</xdr:row>
      <xdr:rowOff>9525</xdr:rowOff>
    </xdr:from>
    <xdr:to>
      <xdr:col>10</xdr:col>
      <xdr:colOff>466725</xdr:colOff>
      <xdr:row>22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19</xdr:row>
      <xdr:rowOff>9525</xdr:rowOff>
    </xdr:from>
    <xdr:to>
      <xdr:col>12</xdr:col>
      <xdr:colOff>409575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674688</xdr:colOff>
      <xdr:row>7</xdr:row>
      <xdr:rowOff>63502</xdr:rowOff>
    </xdr:from>
    <xdr:to>
      <xdr:col>13</xdr:col>
      <xdr:colOff>374650</xdr:colOff>
      <xdr:row>25</xdr:row>
      <xdr:rowOff>47628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704850</xdr:colOff>
      <xdr:row>22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8</xdr:row>
      <xdr:rowOff>0</xdr:rowOff>
    </xdr:from>
    <xdr:to>
      <xdr:col>10</xdr:col>
      <xdr:colOff>485775</xdr:colOff>
      <xdr:row>22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6</xdr:row>
      <xdr:rowOff>19050</xdr:rowOff>
    </xdr:from>
    <xdr:to>
      <xdr:col>10</xdr:col>
      <xdr:colOff>190500</xdr:colOff>
      <xdr:row>20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7">
          <cell r="H17">
            <v>108488.64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T42"/>
  <sheetViews>
    <sheetView topLeftCell="B22" zoomScale="90" zoomScaleNormal="90" workbookViewId="0">
      <selection activeCell="H6" sqref="H6:I6"/>
    </sheetView>
  </sheetViews>
  <sheetFormatPr baseColWidth="10" defaultRowHeight="15"/>
  <cols>
    <col min="4" max="6" width="9" bestFit="1" customWidth="1"/>
    <col min="7" max="7" width="8" bestFit="1" customWidth="1"/>
    <col min="8" max="8" width="8.85546875" customWidth="1"/>
    <col min="9" max="9" width="8" bestFit="1" customWidth="1"/>
    <col min="10" max="10" width="9.5703125" customWidth="1"/>
    <col min="11" max="12" width="9.42578125" bestFit="1" customWidth="1"/>
    <col min="14" max="14" width="15.5703125" bestFit="1" customWidth="1"/>
  </cols>
  <sheetData>
    <row r="3" spans="8:12" ht="15.75" thickBot="1"/>
    <row r="4" spans="8:12" ht="15.75" thickBot="1">
      <c r="H4" s="191" t="s">
        <v>8</v>
      </c>
      <c r="I4" s="192"/>
      <c r="J4" s="192"/>
      <c r="K4" s="192"/>
      <c r="L4" s="193"/>
    </row>
    <row r="5" spans="8:12">
      <c r="H5" s="190" t="s">
        <v>0</v>
      </c>
      <c r="I5" s="188"/>
      <c r="J5" s="1"/>
      <c r="K5" s="2">
        <v>109382</v>
      </c>
      <c r="L5" s="3" t="s">
        <v>6</v>
      </c>
    </row>
    <row r="6" spans="8:12">
      <c r="H6" s="190" t="s">
        <v>1</v>
      </c>
      <c r="I6" s="188"/>
      <c r="J6" s="1"/>
      <c r="K6" s="2">
        <v>4558</v>
      </c>
      <c r="L6" s="3" t="s">
        <v>7</v>
      </c>
    </row>
    <row r="7" spans="8:12">
      <c r="H7" s="190" t="s">
        <v>2</v>
      </c>
      <c r="I7" s="188"/>
      <c r="J7" s="1"/>
      <c r="K7" s="2">
        <v>6127</v>
      </c>
      <c r="L7" s="3" t="s">
        <v>7</v>
      </c>
    </row>
    <row r="8" spans="8:12">
      <c r="H8" s="190" t="s">
        <v>3</v>
      </c>
      <c r="I8" s="188"/>
      <c r="J8" s="1"/>
      <c r="K8" s="2">
        <v>1000</v>
      </c>
      <c r="L8" s="3" t="s">
        <v>7</v>
      </c>
    </row>
    <row r="9" spans="8:12">
      <c r="H9" s="190" t="s">
        <v>4</v>
      </c>
      <c r="I9" s="188"/>
      <c r="J9" s="1"/>
      <c r="K9" s="2">
        <v>13320</v>
      </c>
      <c r="L9" s="3" t="s">
        <v>7</v>
      </c>
    </row>
    <row r="10" spans="8:12" ht="15.75" thickBot="1">
      <c r="H10" s="202" t="s">
        <v>5</v>
      </c>
      <c r="I10" s="203"/>
      <c r="J10" s="4"/>
      <c r="K10" s="5">
        <v>6127</v>
      </c>
      <c r="L10" s="6" t="s">
        <v>7</v>
      </c>
    </row>
    <row r="11" spans="8:12" ht="15.75" thickBot="1">
      <c r="H11" s="189"/>
      <c r="I11" s="189"/>
    </row>
    <row r="12" spans="8:12" ht="15.75" thickBot="1">
      <c r="H12" s="191" t="s">
        <v>9</v>
      </c>
      <c r="I12" s="192"/>
      <c r="J12" s="192"/>
      <c r="K12" s="192"/>
      <c r="L12" s="193"/>
    </row>
    <row r="13" spans="8:12">
      <c r="H13" s="190" t="s">
        <v>10</v>
      </c>
      <c r="I13" s="188"/>
      <c r="J13" s="1"/>
      <c r="K13" s="7">
        <v>198</v>
      </c>
      <c r="L13" s="3" t="s">
        <v>12</v>
      </c>
    </row>
    <row r="14" spans="8:12" ht="15.75" thickBot="1">
      <c r="H14" s="202" t="s">
        <v>11</v>
      </c>
      <c r="I14" s="203"/>
      <c r="J14" s="4"/>
      <c r="K14" s="8">
        <v>225</v>
      </c>
      <c r="L14" s="6" t="s">
        <v>12</v>
      </c>
    </row>
    <row r="15" spans="8:12" ht="15.75" thickBot="1"/>
    <row r="16" spans="8:12" ht="15.75" thickBot="1">
      <c r="H16" s="191" t="s">
        <v>13</v>
      </c>
      <c r="I16" s="192"/>
      <c r="J16" s="192"/>
      <c r="K16" s="192"/>
      <c r="L16" s="193"/>
    </row>
    <row r="17" spans="2:13">
      <c r="H17" s="190" t="s">
        <v>14</v>
      </c>
      <c r="I17" s="188"/>
      <c r="J17" s="1"/>
      <c r="K17" s="10" t="s">
        <v>19</v>
      </c>
      <c r="L17" s="3" t="s">
        <v>18</v>
      </c>
    </row>
    <row r="18" spans="2:13">
      <c r="H18" s="190" t="s">
        <v>15</v>
      </c>
      <c r="I18" s="188"/>
      <c r="J18" s="1"/>
      <c r="K18" s="10" t="s">
        <v>20</v>
      </c>
      <c r="L18" s="3" t="s">
        <v>18</v>
      </c>
    </row>
    <row r="19" spans="2:13">
      <c r="H19" s="190" t="s">
        <v>16</v>
      </c>
      <c r="I19" s="188"/>
      <c r="J19" s="1"/>
      <c r="K19" s="10" t="s">
        <v>21</v>
      </c>
      <c r="L19" s="3"/>
    </row>
    <row r="20" spans="2:13" ht="15.75" thickBot="1">
      <c r="H20" s="202" t="s">
        <v>17</v>
      </c>
      <c r="I20" s="203"/>
      <c r="J20" s="4"/>
      <c r="K20" s="11" t="s">
        <v>22</v>
      </c>
      <c r="L20" s="6" t="s">
        <v>18</v>
      </c>
      <c r="M20" s="9"/>
    </row>
    <row r="22" spans="2:13">
      <c r="H22" s="204"/>
      <c r="I22" s="204"/>
      <c r="J22" s="204"/>
      <c r="K22" s="204"/>
      <c r="L22" s="204"/>
    </row>
    <row r="23" spans="2:13">
      <c r="H23" s="188"/>
      <c r="I23" s="188"/>
      <c r="J23" s="1"/>
      <c r="K23" s="2"/>
      <c r="L23" s="1"/>
    </row>
    <row r="24" spans="2:13">
      <c r="H24" s="1"/>
      <c r="I24" s="1"/>
      <c r="J24" s="1"/>
      <c r="K24" s="2"/>
      <c r="L24" s="1"/>
    </row>
    <row r="25" spans="2:13">
      <c r="H25" s="1"/>
      <c r="I25" s="1"/>
      <c r="J25" s="1"/>
      <c r="K25" s="1"/>
      <c r="L25" s="1"/>
    </row>
    <row r="28" spans="2:13" ht="15.75" thickBot="1"/>
    <row r="29" spans="2:13" ht="15.75" thickBot="1">
      <c r="B29" s="26" t="s">
        <v>23</v>
      </c>
      <c r="C29" s="13" t="s">
        <v>24</v>
      </c>
      <c r="D29" s="14">
        <v>30</v>
      </c>
      <c r="E29" s="14">
        <v>35</v>
      </c>
      <c r="F29" s="14">
        <v>40</v>
      </c>
      <c r="G29" s="14">
        <v>45</v>
      </c>
      <c r="H29" s="15">
        <v>50</v>
      </c>
    </row>
    <row r="30" spans="2:13" ht="15.75" thickBot="1">
      <c r="B30" s="27" t="s">
        <v>25</v>
      </c>
      <c r="C30" s="12" t="s">
        <v>26</v>
      </c>
      <c r="D30" s="14">
        <v>1104</v>
      </c>
      <c r="E30" s="16">
        <v>1288</v>
      </c>
      <c r="F30" s="16">
        <v>1472</v>
      </c>
      <c r="G30" s="16">
        <v>1656</v>
      </c>
      <c r="H30" s="17">
        <v>1840</v>
      </c>
    </row>
    <row r="31" spans="2:13" ht="15.75" thickBot="1">
      <c r="B31" s="27" t="s">
        <v>27</v>
      </c>
      <c r="C31" s="12" t="s">
        <v>28</v>
      </c>
      <c r="D31" s="18">
        <v>5022</v>
      </c>
      <c r="E31" s="1">
        <v>6000</v>
      </c>
      <c r="F31" s="1">
        <v>7020</v>
      </c>
      <c r="G31" s="1">
        <v>7992</v>
      </c>
      <c r="H31" s="3">
        <v>9000</v>
      </c>
    </row>
    <row r="32" spans="2:13" ht="15.75" thickBot="1">
      <c r="B32" s="27" t="s">
        <v>29</v>
      </c>
      <c r="C32" s="12" t="s">
        <v>30</v>
      </c>
      <c r="D32" s="12">
        <v>105</v>
      </c>
      <c r="E32" s="4">
        <v>123</v>
      </c>
      <c r="F32" s="4">
        <v>141</v>
      </c>
      <c r="G32" s="4">
        <v>162</v>
      </c>
      <c r="H32" s="6">
        <v>185</v>
      </c>
    </row>
    <row r="33" spans="2:20" ht="15.75" thickBot="1"/>
    <row r="34" spans="2:20" ht="15.75" thickBot="1">
      <c r="B34" s="198" t="s">
        <v>31</v>
      </c>
      <c r="C34" s="199"/>
      <c r="D34" s="192" t="s">
        <v>43</v>
      </c>
      <c r="E34" s="192"/>
      <c r="F34" s="192"/>
      <c r="G34" s="192"/>
      <c r="H34" s="192"/>
      <c r="I34" s="192"/>
      <c r="J34" s="192"/>
      <c r="K34" s="192"/>
      <c r="L34" s="193"/>
      <c r="N34" s="29" t="s">
        <v>23</v>
      </c>
      <c r="O34" s="32" t="s">
        <v>24</v>
      </c>
      <c r="P34" s="44">
        <v>30</v>
      </c>
      <c r="Q34" s="45">
        <v>35</v>
      </c>
      <c r="R34" s="45">
        <v>40</v>
      </c>
      <c r="S34" s="45">
        <v>45</v>
      </c>
      <c r="T34" s="46">
        <v>50</v>
      </c>
    </row>
    <row r="35" spans="2:20" ht="15.75" thickBot="1">
      <c r="B35" s="200"/>
      <c r="C35" s="201"/>
      <c r="D35" s="23" t="s">
        <v>34</v>
      </c>
      <c r="E35" s="24" t="s">
        <v>35</v>
      </c>
      <c r="F35" s="24" t="s">
        <v>36</v>
      </c>
      <c r="G35" s="24" t="s">
        <v>37</v>
      </c>
      <c r="H35" s="24" t="s">
        <v>38</v>
      </c>
      <c r="I35" s="24" t="s">
        <v>39</v>
      </c>
      <c r="J35" s="24" t="s">
        <v>40</v>
      </c>
      <c r="K35" s="24" t="s">
        <v>41</v>
      </c>
      <c r="L35" s="25" t="s">
        <v>42</v>
      </c>
      <c r="N35" s="30" t="s">
        <v>44</v>
      </c>
      <c r="O35" s="33" t="s">
        <v>49</v>
      </c>
      <c r="P35" s="35">
        <v>1104</v>
      </c>
      <c r="Q35" s="36">
        <v>1288</v>
      </c>
      <c r="R35" s="36">
        <v>1472</v>
      </c>
      <c r="S35" s="36">
        <v>1656</v>
      </c>
      <c r="T35" s="37">
        <v>1840</v>
      </c>
    </row>
    <row r="36" spans="2:20">
      <c r="B36" s="194" t="s">
        <v>32</v>
      </c>
      <c r="C36" s="195"/>
      <c r="D36" s="2">
        <v>59742</v>
      </c>
      <c r="E36" s="2">
        <v>60987</v>
      </c>
      <c r="F36" s="2">
        <v>61876</v>
      </c>
      <c r="G36" s="2">
        <v>135632</v>
      </c>
      <c r="H36" s="2">
        <v>132274</v>
      </c>
      <c r="I36" s="2">
        <v>134591</v>
      </c>
      <c r="J36" s="2">
        <v>211107</v>
      </c>
      <c r="K36" s="2">
        <v>215943</v>
      </c>
      <c r="L36" s="19">
        <v>59742</v>
      </c>
      <c r="N36" s="30" t="s">
        <v>27</v>
      </c>
      <c r="O36" s="33" t="s">
        <v>49</v>
      </c>
      <c r="P36" s="35">
        <v>5022</v>
      </c>
      <c r="Q36" s="36">
        <v>6000</v>
      </c>
      <c r="R36" s="36">
        <v>7020</v>
      </c>
      <c r="S36" s="36">
        <v>7992</v>
      </c>
      <c r="T36" s="37">
        <v>9000</v>
      </c>
    </row>
    <row r="37" spans="2:20" ht="15.75" thickBot="1">
      <c r="B37" s="196" t="s">
        <v>33</v>
      </c>
      <c r="C37" s="197"/>
      <c r="D37" s="5">
        <v>3485</v>
      </c>
      <c r="E37" s="5">
        <v>3558</v>
      </c>
      <c r="F37" s="5">
        <v>3609</v>
      </c>
      <c r="G37" s="5">
        <v>6593</v>
      </c>
      <c r="H37" s="5">
        <v>6430</v>
      </c>
      <c r="I37" s="5">
        <v>6543</v>
      </c>
      <c r="J37" s="5">
        <v>10122</v>
      </c>
      <c r="K37" s="8">
        <v>9809</v>
      </c>
      <c r="L37" s="187">
        <v>9896</v>
      </c>
      <c r="N37" s="30" t="s">
        <v>45</v>
      </c>
      <c r="O37" s="33" t="s">
        <v>49</v>
      </c>
      <c r="P37" s="35">
        <v>4620</v>
      </c>
      <c r="Q37" s="36">
        <v>5520</v>
      </c>
      <c r="R37" s="36">
        <v>6458</v>
      </c>
      <c r="S37" s="36">
        <v>7353</v>
      </c>
      <c r="T37" s="37">
        <v>8280</v>
      </c>
    </row>
    <row r="38" spans="2:20">
      <c r="N38" s="30" t="s">
        <v>45</v>
      </c>
      <c r="O38" s="33" t="s">
        <v>50</v>
      </c>
      <c r="P38" s="35">
        <v>4288</v>
      </c>
      <c r="Q38" s="36">
        <v>5060</v>
      </c>
      <c r="R38" s="36">
        <v>5903</v>
      </c>
      <c r="S38" s="36">
        <v>6747</v>
      </c>
      <c r="T38" s="37">
        <v>7590</v>
      </c>
    </row>
    <row r="39" spans="2:20">
      <c r="N39" s="30" t="s">
        <v>29</v>
      </c>
      <c r="O39" s="33" t="s">
        <v>30</v>
      </c>
      <c r="P39" s="35">
        <v>105</v>
      </c>
      <c r="Q39" s="36">
        <v>123</v>
      </c>
      <c r="R39" s="36">
        <v>141</v>
      </c>
      <c r="S39" s="36">
        <v>162</v>
      </c>
      <c r="T39" s="37">
        <v>185</v>
      </c>
    </row>
    <row r="40" spans="2:20">
      <c r="N40" s="30" t="s">
        <v>46</v>
      </c>
      <c r="O40" s="33" t="s">
        <v>30</v>
      </c>
      <c r="P40" s="38">
        <v>110.5</v>
      </c>
      <c r="Q40" s="39">
        <v>129.5</v>
      </c>
      <c r="R40" s="39">
        <v>148.4</v>
      </c>
      <c r="S40" s="39">
        <v>170.5</v>
      </c>
      <c r="T40" s="40">
        <v>194.7</v>
      </c>
    </row>
    <row r="41" spans="2:20">
      <c r="N41" s="30" t="s">
        <v>47</v>
      </c>
      <c r="O41" s="33" t="s">
        <v>30</v>
      </c>
      <c r="P41" s="38">
        <v>117</v>
      </c>
      <c r="Q41" s="39">
        <v>136.80000000000001</v>
      </c>
      <c r="R41" s="39">
        <v>156.4</v>
      </c>
      <c r="S41" s="39">
        <v>179</v>
      </c>
      <c r="T41" s="40">
        <v>204.3</v>
      </c>
    </row>
    <row r="42" spans="2:20" ht="15.75" thickBot="1">
      <c r="N42" s="31" t="s">
        <v>48</v>
      </c>
      <c r="O42" s="34" t="s">
        <v>51</v>
      </c>
      <c r="P42" s="41">
        <f>P41/P38</f>
        <v>2.7285447761194029E-2</v>
      </c>
      <c r="Q42" s="42">
        <f t="shared" ref="Q42:T42" si="0">Q41/Q38</f>
        <v>2.7035573122529646E-2</v>
      </c>
      <c r="R42" s="42">
        <f t="shared" si="0"/>
        <v>2.6495002541080809E-2</v>
      </c>
      <c r="S42" s="42">
        <f t="shared" si="0"/>
        <v>2.6530309767303986E-2</v>
      </c>
      <c r="T42" s="43">
        <f t="shared" si="0"/>
        <v>2.6916996047430832E-2</v>
      </c>
    </row>
  </sheetData>
  <mergeCells count="22">
    <mergeCell ref="B36:C36"/>
    <mergeCell ref="B37:C37"/>
    <mergeCell ref="D34:L34"/>
    <mergeCell ref="B34:C35"/>
    <mergeCell ref="H4:L4"/>
    <mergeCell ref="H12:L12"/>
    <mergeCell ref="H14:I14"/>
    <mergeCell ref="H5:I5"/>
    <mergeCell ref="H6:I6"/>
    <mergeCell ref="H7:I7"/>
    <mergeCell ref="H8:I8"/>
    <mergeCell ref="H9:I9"/>
    <mergeCell ref="H10:I10"/>
    <mergeCell ref="H19:I19"/>
    <mergeCell ref="H20:I20"/>
    <mergeCell ref="H22:L22"/>
    <mergeCell ref="H23:I23"/>
    <mergeCell ref="H11:I11"/>
    <mergeCell ref="H13:I13"/>
    <mergeCell ref="H16:L16"/>
    <mergeCell ref="H17:I17"/>
    <mergeCell ref="H18:I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H18"/>
  <sheetViews>
    <sheetView topLeftCell="A4" workbookViewId="0">
      <selection activeCell="B4" sqref="B4:H18"/>
    </sheetView>
  </sheetViews>
  <sheetFormatPr baseColWidth="10" defaultRowHeight="15"/>
  <cols>
    <col min="2" max="2" width="9.7109375" style="1" customWidth="1"/>
    <col min="6" max="6" width="17.5703125" customWidth="1"/>
    <col min="7" max="7" width="10.28515625" customWidth="1"/>
    <col min="8" max="8" width="9.42578125" customWidth="1"/>
  </cols>
  <sheetData>
    <row r="3" spans="2:8" ht="15.75" thickBot="1"/>
    <row r="4" spans="2:8" ht="15.75" thickBot="1">
      <c r="B4" s="209" t="s">
        <v>107</v>
      </c>
      <c r="C4" s="210"/>
      <c r="D4" s="210"/>
      <c r="E4" s="210"/>
      <c r="F4" s="210"/>
      <c r="G4" s="210"/>
      <c r="H4" s="211"/>
    </row>
    <row r="5" spans="2:8">
      <c r="B5" s="72" t="s">
        <v>56</v>
      </c>
      <c r="C5" s="228" t="s">
        <v>108</v>
      </c>
      <c r="D5" s="228"/>
      <c r="E5" s="228"/>
      <c r="F5" s="228"/>
      <c r="G5" s="73" t="s">
        <v>109</v>
      </c>
      <c r="H5" s="89" t="s">
        <v>79</v>
      </c>
    </row>
    <row r="6" spans="2:8">
      <c r="B6" s="229">
        <v>1</v>
      </c>
      <c r="C6" s="100" t="s">
        <v>110</v>
      </c>
      <c r="D6" s="100"/>
      <c r="E6" s="100"/>
      <c r="F6" s="100"/>
      <c r="G6" s="232">
        <v>3952</v>
      </c>
      <c r="H6" s="238">
        <f>G6</f>
        <v>3952</v>
      </c>
    </row>
    <row r="7" spans="2:8">
      <c r="B7" s="230"/>
      <c r="C7" s="78" t="s">
        <v>115</v>
      </c>
      <c r="D7" s="102"/>
      <c r="E7" s="102"/>
      <c r="F7" s="102"/>
      <c r="G7" s="233"/>
      <c r="H7" s="221"/>
    </row>
    <row r="8" spans="2:8">
      <c r="B8" s="231"/>
      <c r="C8" s="103" t="s">
        <v>114</v>
      </c>
      <c r="D8" s="103"/>
      <c r="E8" s="103"/>
      <c r="F8" s="103"/>
      <c r="G8" s="234"/>
      <c r="H8" s="221"/>
    </row>
    <row r="9" spans="2:8">
      <c r="B9" s="229">
        <v>1</v>
      </c>
      <c r="C9" s="100" t="s">
        <v>111</v>
      </c>
      <c r="D9" s="101"/>
      <c r="E9" s="101"/>
      <c r="F9" s="101"/>
      <c r="G9" s="235">
        <v>360</v>
      </c>
      <c r="H9" s="238">
        <f>G9</f>
        <v>360</v>
      </c>
    </row>
    <row r="10" spans="2:8">
      <c r="B10" s="230"/>
      <c r="C10" s="78" t="s">
        <v>112</v>
      </c>
      <c r="D10" s="78"/>
      <c r="E10" s="78"/>
      <c r="F10" s="78"/>
      <c r="G10" s="236"/>
      <c r="H10" s="221"/>
    </row>
    <row r="11" spans="2:8">
      <c r="B11" s="231"/>
      <c r="C11" s="103" t="s">
        <v>116</v>
      </c>
      <c r="D11" s="103"/>
      <c r="E11" s="103"/>
      <c r="F11" s="103"/>
      <c r="G11" s="237"/>
      <c r="H11" s="239"/>
    </row>
    <row r="12" spans="2:8">
      <c r="B12" s="229">
        <v>1</v>
      </c>
      <c r="C12" s="100" t="s">
        <v>117</v>
      </c>
      <c r="D12" s="101"/>
      <c r="E12" s="101"/>
      <c r="F12" s="101"/>
      <c r="G12" s="235">
        <v>1360</v>
      </c>
      <c r="H12" s="238">
        <f>G12</f>
        <v>1360</v>
      </c>
    </row>
    <row r="13" spans="2:8">
      <c r="B13" s="230"/>
      <c r="C13" s="78" t="s">
        <v>118</v>
      </c>
      <c r="D13" s="78"/>
      <c r="E13" s="78"/>
      <c r="F13" s="78"/>
      <c r="G13" s="236"/>
      <c r="H13" s="221"/>
    </row>
    <row r="14" spans="2:8">
      <c r="B14" s="231"/>
      <c r="C14" s="103" t="s">
        <v>113</v>
      </c>
      <c r="D14" s="103"/>
      <c r="E14" s="103"/>
      <c r="F14" s="103"/>
      <c r="G14" s="237"/>
      <c r="H14" s="239"/>
    </row>
    <row r="15" spans="2:8">
      <c r="B15" s="96"/>
      <c r="C15" s="97"/>
      <c r="D15" s="97"/>
      <c r="E15" s="97"/>
      <c r="F15" s="97"/>
      <c r="G15" s="1"/>
      <c r="H15" s="218">
        <f>SUM(H6:H14)</f>
        <v>5672</v>
      </c>
    </row>
    <row r="16" spans="2:8">
      <c r="B16" s="90" t="s">
        <v>119</v>
      </c>
      <c r="C16" s="91"/>
      <c r="D16" s="91"/>
      <c r="E16" s="91"/>
      <c r="F16" s="91"/>
      <c r="G16" s="91"/>
      <c r="H16" s="219"/>
    </row>
    <row r="17" spans="2:8" ht="15.75" thickBot="1">
      <c r="B17" s="98"/>
      <c r="C17" s="99"/>
      <c r="D17" s="99"/>
      <c r="E17" s="99"/>
      <c r="F17" s="99"/>
      <c r="G17" s="99"/>
      <c r="H17" s="220"/>
    </row>
    <row r="18" spans="2:8" ht="15.75" thickBot="1">
      <c r="B18" s="79" t="s">
        <v>86</v>
      </c>
      <c r="C18" s="80"/>
      <c r="D18" s="80"/>
      <c r="E18" s="80"/>
      <c r="F18" s="80"/>
      <c r="G18" s="80"/>
      <c r="H18" s="104">
        <f>H15</f>
        <v>5672</v>
      </c>
    </row>
  </sheetData>
  <mergeCells count="12">
    <mergeCell ref="H15:H17"/>
    <mergeCell ref="G6:G8"/>
    <mergeCell ref="G9:G11"/>
    <mergeCell ref="G12:G14"/>
    <mergeCell ref="H6:H8"/>
    <mergeCell ref="H9:H11"/>
    <mergeCell ref="H12:H14"/>
    <mergeCell ref="C5:F5"/>
    <mergeCell ref="B6:B8"/>
    <mergeCell ref="B9:B11"/>
    <mergeCell ref="B12:B14"/>
    <mergeCell ref="B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16"/>
  <sheetViews>
    <sheetView workbookViewId="0">
      <selection activeCell="L23" sqref="L23"/>
    </sheetView>
  </sheetViews>
  <sheetFormatPr baseColWidth="10" defaultRowHeight="15"/>
  <sheetData>
    <row r="1" spans="2:8" ht="15.75" thickBot="1"/>
    <row r="2" spans="2:8" ht="15.75" thickBot="1">
      <c r="B2" s="209" t="s">
        <v>126</v>
      </c>
      <c r="C2" s="210"/>
      <c r="D2" s="210"/>
      <c r="E2" s="210"/>
      <c r="F2" s="210"/>
      <c r="G2" s="210"/>
      <c r="H2" s="211"/>
    </row>
    <row r="3" spans="2:8" ht="15.75" thickBot="1">
      <c r="B3" s="105" t="s">
        <v>56</v>
      </c>
      <c r="C3" s="106"/>
      <c r="D3" s="106"/>
      <c r="E3" s="106"/>
      <c r="F3" s="106"/>
      <c r="G3" s="106"/>
      <c r="H3" s="89" t="s">
        <v>79</v>
      </c>
    </row>
    <row r="4" spans="2:8">
      <c r="B4" s="242" t="s">
        <v>120</v>
      </c>
      <c r="C4" s="243"/>
      <c r="D4" s="243"/>
      <c r="E4" s="243"/>
      <c r="F4" s="243"/>
      <c r="G4" s="244"/>
      <c r="H4" s="255">
        <f>'Presupuesto plataforma'!I10</f>
        <v>6545</v>
      </c>
    </row>
    <row r="5" spans="2:8">
      <c r="B5" s="245"/>
      <c r="C5" s="246"/>
      <c r="D5" s="246"/>
      <c r="E5" s="246"/>
      <c r="F5" s="246"/>
      <c r="G5" s="247"/>
      <c r="H5" s="219"/>
    </row>
    <row r="6" spans="2:8">
      <c r="B6" s="248" t="s">
        <v>121</v>
      </c>
      <c r="C6" s="213"/>
      <c r="D6" s="213"/>
      <c r="E6" s="213"/>
      <c r="F6" s="213"/>
      <c r="G6" s="249"/>
      <c r="H6" s="219">
        <f>'Presupuesto plataforma'!I19</f>
        <v>14950</v>
      </c>
    </row>
    <row r="7" spans="2:8">
      <c r="B7" s="248"/>
      <c r="C7" s="213"/>
      <c r="D7" s="213"/>
      <c r="E7" s="213"/>
      <c r="F7" s="213"/>
      <c r="G7" s="249"/>
      <c r="H7" s="219"/>
    </row>
    <row r="8" spans="2:8">
      <c r="B8" s="248" t="s">
        <v>122</v>
      </c>
      <c r="C8" s="213"/>
      <c r="D8" s="213"/>
      <c r="E8" s="213"/>
      <c r="F8" s="213"/>
      <c r="G8" s="249"/>
      <c r="H8" s="219">
        <f>'Presupuesto plataforma'!I29</f>
        <v>1330</v>
      </c>
    </row>
    <row r="9" spans="2:8">
      <c r="B9" s="248"/>
      <c r="C9" s="213"/>
      <c r="D9" s="213"/>
      <c r="E9" s="213"/>
      <c r="F9" s="213"/>
      <c r="G9" s="249"/>
      <c r="H9" s="219"/>
    </row>
    <row r="10" spans="2:8">
      <c r="B10" s="245" t="s">
        <v>123</v>
      </c>
      <c r="C10" s="246"/>
      <c r="D10" s="246"/>
      <c r="E10" s="246"/>
      <c r="F10" s="246"/>
      <c r="G10" s="247"/>
      <c r="H10" s="219">
        <f>'Presupuesto plataforma'!I46</f>
        <v>1240</v>
      </c>
    </row>
    <row r="11" spans="2:8">
      <c r="B11" s="245"/>
      <c r="C11" s="246"/>
      <c r="D11" s="246"/>
      <c r="E11" s="246"/>
      <c r="F11" s="246"/>
      <c r="G11" s="247"/>
      <c r="H11" s="219"/>
    </row>
    <row r="12" spans="2:8">
      <c r="B12" s="250" t="s">
        <v>124</v>
      </c>
      <c r="C12" s="227"/>
      <c r="D12" s="227"/>
      <c r="E12" s="227"/>
      <c r="F12" s="227"/>
      <c r="G12" s="227"/>
      <c r="H12" s="240">
        <f>SUM(H4:H11)</f>
        <v>24065</v>
      </c>
    </row>
    <row r="13" spans="2:8">
      <c r="B13" s="251"/>
      <c r="C13" s="252"/>
      <c r="D13" s="252"/>
      <c r="E13" s="252"/>
      <c r="F13" s="252"/>
      <c r="G13" s="252"/>
      <c r="H13" s="256"/>
    </row>
    <row r="14" spans="2:8">
      <c r="B14" s="226" t="s">
        <v>125</v>
      </c>
      <c r="C14" s="227"/>
      <c r="D14" s="227"/>
      <c r="E14" s="227"/>
      <c r="F14" s="227"/>
      <c r="G14" s="227"/>
      <c r="H14" s="240">
        <f>'Presupuesto equipos de medida'!H18</f>
        <v>5672</v>
      </c>
    </row>
    <row r="15" spans="2:8" ht="15.75" thickBot="1">
      <c r="B15" s="253"/>
      <c r="C15" s="254"/>
      <c r="D15" s="254"/>
      <c r="E15" s="254"/>
      <c r="F15" s="254"/>
      <c r="G15" s="254"/>
      <c r="H15" s="241"/>
    </row>
    <row r="16" spans="2:8" ht="15.75" thickBot="1">
      <c r="B16" s="79" t="s">
        <v>54</v>
      </c>
      <c r="C16" s="80"/>
      <c r="D16" s="80"/>
      <c r="E16" s="80"/>
      <c r="F16" s="80"/>
      <c r="G16" s="80"/>
      <c r="H16" s="95">
        <f>SUM(H12:H15)</f>
        <v>29737</v>
      </c>
    </row>
  </sheetData>
  <mergeCells count="13">
    <mergeCell ref="B2:H2"/>
    <mergeCell ref="H14:H15"/>
    <mergeCell ref="B4:G5"/>
    <mergeCell ref="B6:G7"/>
    <mergeCell ref="B8:G9"/>
    <mergeCell ref="B10:G11"/>
    <mergeCell ref="B12:G13"/>
    <mergeCell ref="B14:G15"/>
    <mergeCell ref="H4:H5"/>
    <mergeCell ref="H6:H7"/>
    <mergeCell ref="H8:H9"/>
    <mergeCell ref="H10:H11"/>
    <mergeCell ref="H12:H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P53"/>
  <sheetViews>
    <sheetView workbookViewId="0">
      <selection activeCell="J25" sqref="J25:P28"/>
    </sheetView>
  </sheetViews>
  <sheetFormatPr baseColWidth="10" defaultRowHeight="15"/>
  <cols>
    <col min="8" max="8" width="12" bestFit="1" customWidth="1"/>
  </cols>
  <sheetData>
    <row r="1" spans="2:16" ht="15.75" thickBot="1"/>
    <row r="2" spans="2:16" ht="15.75" thickBot="1">
      <c r="J2" s="269" t="s">
        <v>131</v>
      </c>
      <c r="K2" s="270"/>
      <c r="L2" s="270"/>
      <c r="M2" s="270"/>
      <c r="N2" s="270"/>
      <c r="O2" s="270"/>
      <c r="P2" s="271"/>
    </row>
    <row r="3" spans="2:16" ht="15.75" thickBot="1">
      <c r="B3" s="257" t="s">
        <v>127</v>
      </c>
      <c r="C3" s="258"/>
      <c r="D3" s="258"/>
      <c r="E3" s="258"/>
      <c r="F3" s="258"/>
      <c r="G3" s="258"/>
      <c r="H3" s="259"/>
      <c r="J3" s="72" t="s">
        <v>56</v>
      </c>
      <c r="K3" s="228" t="s">
        <v>108</v>
      </c>
      <c r="L3" s="228"/>
      <c r="M3" s="228"/>
      <c r="N3" s="228"/>
      <c r="O3" s="73" t="s">
        <v>109</v>
      </c>
      <c r="P3" s="89" t="s">
        <v>79</v>
      </c>
    </row>
    <row r="4" spans="2:16" ht="15.75" thickBot="1">
      <c r="B4" s="107" t="s">
        <v>56</v>
      </c>
      <c r="C4" s="262" t="s">
        <v>108</v>
      </c>
      <c r="D4" s="262"/>
      <c r="E4" s="262"/>
      <c r="F4" s="262"/>
      <c r="G4" s="108" t="s">
        <v>128</v>
      </c>
      <c r="H4" s="109" t="s">
        <v>129</v>
      </c>
      <c r="J4" s="229">
        <v>2</v>
      </c>
      <c r="K4" s="100" t="s">
        <v>132</v>
      </c>
      <c r="L4" s="100"/>
      <c r="M4" s="100"/>
      <c r="N4" s="100"/>
      <c r="O4" s="153"/>
      <c r="P4" s="238">
        <f>SUM(O5:O8)*J4</f>
        <v>76.44</v>
      </c>
    </row>
    <row r="5" spans="2:16">
      <c r="B5" s="110"/>
      <c r="H5" s="111"/>
      <c r="J5" s="230"/>
      <c r="K5" s="78" t="s">
        <v>163</v>
      </c>
      <c r="L5" s="78"/>
      <c r="M5" s="78"/>
      <c r="N5" s="78"/>
      <c r="O5" s="143">
        <v>11.5</v>
      </c>
      <c r="P5" s="221"/>
    </row>
    <row r="6" spans="2:16">
      <c r="B6" s="112">
        <v>2</v>
      </c>
      <c r="C6" s="263" t="s">
        <v>130</v>
      </c>
      <c r="D6" s="263"/>
      <c r="E6" s="263"/>
      <c r="F6" s="263"/>
      <c r="G6" s="113">
        <v>40000</v>
      </c>
      <c r="H6" s="114">
        <f>G6*B6</f>
        <v>80000</v>
      </c>
      <c r="J6" s="230"/>
      <c r="K6" s="78" t="s">
        <v>170</v>
      </c>
      <c r="L6" s="78"/>
      <c r="M6" s="78"/>
      <c r="N6" s="78"/>
      <c r="O6" s="143">
        <v>7.38</v>
      </c>
      <c r="P6" s="221"/>
    </row>
    <row r="7" spans="2:16" ht="15.75" thickBot="1">
      <c r="B7" s="110"/>
      <c r="H7" s="111"/>
      <c r="J7" s="230"/>
      <c r="K7" s="78" t="s">
        <v>164</v>
      </c>
      <c r="L7" s="102"/>
      <c r="M7" s="102"/>
      <c r="N7" s="102"/>
      <c r="O7" s="143">
        <v>11.02</v>
      </c>
      <c r="P7" s="221"/>
    </row>
    <row r="8" spans="2:16" ht="15.75" thickBot="1">
      <c r="B8" s="115" t="s">
        <v>54</v>
      </c>
      <c r="C8" s="116"/>
      <c r="D8" s="116"/>
      <c r="E8" s="116"/>
      <c r="F8" s="116"/>
      <c r="G8" s="116"/>
      <c r="H8" s="117">
        <f>H6</f>
        <v>80000</v>
      </c>
      <c r="J8" s="231"/>
      <c r="K8" s="149" t="s">
        <v>171</v>
      </c>
      <c r="L8" s="103"/>
      <c r="M8" s="103"/>
      <c r="N8" s="103"/>
      <c r="O8" s="144">
        <v>8.32</v>
      </c>
      <c r="P8" s="221"/>
    </row>
    <row r="9" spans="2:16">
      <c r="J9" s="229">
        <v>2</v>
      </c>
      <c r="K9" s="100" t="s">
        <v>169</v>
      </c>
      <c r="L9" s="101"/>
      <c r="M9" s="101"/>
      <c r="N9" s="101"/>
      <c r="O9" s="145"/>
      <c r="P9" s="238">
        <f>SUM(O10:O14)*J9</f>
        <v>163.54000000000002</v>
      </c>
    </row>
    <row r="10" spans="2:16">
      <c r="J10" s="230"/>
      <c r="K10" s="78" t="s">
        <v>166</v>
      </c>
      <c r="L10" s="78"/>
      <c r="M10" s="78"/>
      <c r="N10" s="78"/>
      <c r="O10" s="146">
        <v>9.5</v>
      </c>
      <c r="P10" s="221"/>
    </row>
    <row r="11" spans="2:16">
      <c r="J11" s="230"/>
      <c r="K11" s="78" t="s">
        <v>165</v>
      </c>
      <c r="L11" s="78"/>
      <c r="M11" s="78"/>
      <c r="N11" s="78"/>
      <c r="O11" s="146">
        <v>8.86</v>
      </c>
      <c r="P11" s="221"/>
    </row>
    <row r="12" spans="2:16">
      <c r="J12" s="230"/>
      <c r="K12" s="78" t="s">
        <v>167</v>
      </c>
      <c r="L12" s="78"/>
      <c r="M12" s="78"/>
      <c r="N12" s="78"/>
      <c r="O12" s="146">
        <f>24.13*2</f>
        <v>48.26</v>
      </c>
      <c r="P12" s="221"/>
    </row>
    <row r="13" spans="2:16">
      <c r="J13" s="230"/>
      <c r="K13" s="78" t="s">
        <v>168</v>
      </c>
      <c r="L13" s="78"/>
      <c r="M13" s="78"/>
      <c r="N13" s="78"/>
      <c r="O13" s="146">
        <v>5.95</v>
      </c>
      <c r="P13" s="221"/>
    </row>
    <row r="14" spans="2:16">
      <c r="J14" s="231"/>
      <c r="K14" s="150" t="s">
        <v>171</v>
      </c>
      <c r="L14" s="103"/>
      <c r="M14" s="103"/>
      <c r="N14" s="103"/>
      <c r="O14" s="147">
        <v>9.1999999999999993</v>
      </c>
      <c r="P14" s="239"/>
    </row>
    <row r="15" spans="2:16">
      <c r="J15" s="229"/>
      <c r="K15" s="100"/>
      <c r="L15" s="101"/>
      <c r="M15" s="101"/>
      <c r="N15" s="101"/>
      <c r="O15" s="235"/>
      <c r="P15" s="240">
        <f>P4+P9</f>
        <v>239.98000000000002</v>
      </c>
    </row>
    <row r="16" spans="2:16">
      <c r="J16" s="230"/>
      <c r="K16" s="154" t="s">
        <v>54</v>
      </c>
      <c r="L16" s="78"/>
      <c r="M16" s="78"/>
      <c r="N16" s="78"/>
      <c r="O16" s="236"/>
      <c r="P16" s="256"/>
    </row>
    <row r="17" spans="2:16" ht="15.75" thickBot="1">
      <c r="J17" s="273"/>
      <c r="K17" s="155"/>
      <c r="L17" s="155"/>
      <c r="M17" s="155"/>
      <c r="N17" s="155"/>
      <c r="O17" s="274"/>
      <c r="P17" s="241"/>
    </row>
    <row r="18" spans="2:16" ht="15.75" thickBot="1"/>
    <row r="19" spans="2:16" ht="15.75" thickBot="1">
      <c r="B19" s="257" t="s">
        <v>177</v>
      </c>
      <c r="C19" s="264"/>
      <c r="D19" s="264"/>
      <c r="E19" s="264"/>
      <c r="F19" s="264"/>
      <c r="G19" s="264"/>
      <c r="H19" s="265"/>
    </row>
    <row r="20" spans="2:16" ht="15.75" thickBot="1">
      <c r="B20" s="107" t="s">
        <v>172</v>
      </c>
      <c r="C20" s="262" t="s">
        <v>108</v>
      </c>
      <c r="D20" s="262"/>
      <c r="E20" s="262"/>
      <c r="F20" s="262"/>
      <c r="G20" s="108" t="s">
        <v>128</v>
      </c>
      <c r="H20" s="109" t="s">
        <v>129</v>
      </c>
      <c r="J20" s="154"/>
      <c r="K20" s="154"/>
      <c r="L20" s="154"/>
      <c r="M20" s="154"/>
      <c r="N20" s="154"/>
      <c r="O20" s="156"/>
    </row>
    <row r="21" spans="2:16">
      <c r="B21" s="160">
        <v>120</v>
      </c>
      <c r="C21" s="267" t="s">
        <v>173</v>
      </c>
      <c r="D21" s="267"/>
      <c r="E21" s="267"/>
      <c r="F21" s="267"/>
      <c r="G21" s="151">
        <v>28</v>
      </c>
      <c r="H21" s="159">
        <f>G21*B21</f>
        <v>3360</v>
      </c>
    </row>
    <row r="22" spans="2:16">
      <c r="B22" s="160">
        <v>125</v>
      </c>
      <c r="C22" s="266" t="s">
        <v>174</v>
      </c>
      <c r="D22" s="266"/>
      <c r="E22" s="266"/>
      <c r="F22" s="266"/>
      <c r="G22" s="161">
        <v>20</v>
      </c>
      <c r="H22" s="159">
        <f t="shared" ref="H22:H23" si="0">G22*B22</f>
        <v>2500</v>
      </c>
    </row>
    <row r="23" spans="2:16" ht="15.75" thickBot="1">
      <c r="B23" s="160">
        <v>125</v>
      </c>
      <c r="C23" s="268" t="s">
        <v>175</v>
      </c>
      <c r="D23" s="268"/>
      <c r="E23" s="268"/>
      <c r="F23" s="268"/>
      <c r="G23" s="151">
        <v>15</v>
      </c>
      <c r="H23" s="159">
        <f t="shared" si="0"/>
        <v>1875</v>
      </c>
    </row>
    <row r="24" spans="2:16" ht="15.75" thickBot="1">
      <c r="B24" s="115" t="s">
        <v>54</v>
      </c>
      <c r="C24" s="116"/>
      <c r="D24" s="116"/>
      <c r="E24" s="116"/>
      <c r="F24" s="116"/>
      <c r="G24" s="116"/>
      <c r="H24" s="117">
        <f>SUM(H21:H23)</f>
        <v>7735</v>
      </c>
    </row>
    <row r="25" spans="2:16" ht="15.75" thickBot="1">
      <c r="H25" s="148"/>
      <c r="J25" s="269" t="s">
        <v>142</v>
      </c>
      <c r="K25" s="270"/>
      <c r="L25" s="270" t="s">
        <v>143</v>
      </c>
      <c r="M25" s="270"/>
      <c r="N25" s="270"/>
      <c r="O25" s="270" t="s">
        <v>144</v>
      </c>
      <c r="P25" s="271"/>
    </row>
    <row r="26" spans="2:16" ht="15.75" thickBot="1">
      <c r="H26" s="148"/>
      <c r="J26" s="275">
        <f>H39</f>
        <v>94574.98</v>
      </c>
      <c r="K26" s="275"/>
      <c r="L26" s="277">
        <v>3087.07</v>
      </c>
      <c r="M26" s="278"/>
      <c r="N26" s="278"/>
      <c r="O26" s="275" t="s">
        <v>180</v>
      </c>
      <c r="P26" s="275"/>
    </row>
    <row r="27" spans="2:16" ht="15.75" thickBot="1">
      <c r="B27" s="257" t="s">
        <v>176</v>
      </c>
      <c r="C27" s="258"/>
      <c r="D27" s="258"/>
      <c r="E27" s="258"/>
      <c r="F27" s="258"/>
      <c r="G27" s="258"/>
      <c r="H27" s="259"/>
      <c r="J27" s="276"/>
      <c r="K27" s="276"/>
      <c r="L27" s="279"/>
      <c r="M27" s="279"/>
      <c r="N27" s="279"/>
      <c r="O27" s="276"/>
      <c r="P27" s="276"/>
    </row>
    <row r="28" spans="2:16">
      <c r="B28" s="163" t="s">
        <v>172</v>
      </c>
      <c r="C28" s="260" t="s">
        <v>108</v>
      </c>
      <c r="D28" s="260"/>
      <c r="E28" s="260"/>
      <c r="F28" s="260"/>
      <c r="G28" s="164" t="s">
        <v>128</v>
      </c>
      <c r="H28" s="165" t="s">
        <v>129</v>
      </c>
      <c r="J28" s="276"/>
      <c r="K28" s="276"/>
      <c r="L28" s="279"/>
      <c r="M28" s="279"/>
      <c r="N28" s="279"/>
      <c r="O28" s="276"/>
      <c r="P28" s="276"/>
    </row>
    <row r="29" spans="2:16" ht="15.75" thickBot="1">
      <c r="B29" s="160">
        <v>120</v>
      </c>
      <c r="C29" s="261" t="s">
        <v>178</v>
      </c>
      <c r="D29" s="261"/>
      <c r="E29" s="261"/>
      <c r="F29" s="261"/>
      <c r="G29" s="162">
        <v>55</v>
      </c>
      <c r="H29" s="159">
        <f>G29*B29</f>
        <v>6600</v>
      </c>
    </row>
    <row r="30" spans="2:16" ht="15.75" thickBot="1">
      <c r="B30" s="115" t="s">
        <v>54</v>
      </c>
      <c r="C30" s="116"/>
      <c r="D30" s="116"/>
      <c r="E30" s="116"/>
      <c r="F30" s="116"/>
      <c r="G30" s="116"/>
      <c r="H30" s="117">
        <f>SUM(H29:H29)</f>
        <v>6600</v>
      </c>
      <c r="L30" s="167">
        <f>J26/(L26*12)</f>
        <v>2.5529865967837893</v>
      </c>
    </row>
    <row r="32" spans="2:16" ht="15.75" thickBot="1"/>
    <row r="33" spans="2:16" ht="15.75" thickBot="1">
      <c r="B33" s="257" t="s">
        <v>179</v>
      </c>
      <c r="C33" s="264"/>
      <c r="D33" s="264"/>
      <c r="E33" s="264"/>
      <c r="F33" s="264"/>
      <c r="G33" s="264"/>
      <c r="H33" s="265"/>
    </row>
    <row r="34" spans="2:16" ht="15.75" thickBot="1">
      <c r="B34" s="107" t="s">
        <v>56</v>
      </c>
      <c r="C34" s="262" t="s">
        <v>108</v>
      </c>
      <c r="D34" s="262"/>
      <c r="E34" s="262"/>
      <c r="F34" s="262"/>
      <c r="G34" s="108" t="s">
        <v>128</v>
      </c>
      <c r="H34" s="109" t="s">
        <v>129</v>
      </c>
    </row>
    <row r="35" spans="2:16">
      <c r="B35" s="160"/>
      <c r="C35" s="267" t="str">
        <f>B3</f>
        <v>TURBOCOMPRESORES</v>
      </c>
      <c r="D35" s="267"/>
      <c r="E35" s="267"/>
      <c r="F35" s="267"/>
      <c r="G35" s="158"/>
      <c r="H35" s="166">
        <f>H8</f>
        <v>80000</v>
      </c>
    </row>
    <row r="36" spans="2:16">
      <c r="B36" s="160"/>
      <c r="C36" s="261" t="str">
        <f>J2</f>
        <v>MATERIALES</v>
      </c>
      <c r="D36" s="261"/>
      <c r="E36" s="261"/>
      <c r="F36" s="261"/>
      <c r="G36" s="158"/>
      <c r="H36" s="166">
        <f>P15</f>
        <v>239.98000000000002</v>
      </c>
    </row>
    <row r="37" spans="2:16">
      <c r="B37" s="160"/>
      <c r="C37" s="266" t="str">
        <f>B19</f>
        <v>EJECUCIÓN DE LA OBRA</v>
      </c>
      <c r="D37" s="266"/>
      <c r="E37" s="266"/>
      <c r="F37" s="266"/>
      <c r="G37" s="161"/>
      <c r="H37" s="166">
        <f>H24</f>
        <v>7735</v>
      </c>
    </row>
    <row r="38" spans="2:16" ht="15.75" thickBot="1">
      <c r="B38" s="160"/>
      <c r="C38" s="268" t="str">
        <f>B27</f>
        <v>DISEÑO DEL PROYECTO</v>
      </c>
      <c r="D38" s="268"/>
      <c r="E38" s="268"/>
      <c r="F38" s="268"/>
      <c r="G38" s="158"/>
      <c r="H38" s="166">
        <f>H30</f>
        <v>6600</v>
      </c>
      <c r="J38" s="154"/>
      <c r="K38" s="154"/>
      <c r="L38" s="154"/>
      <c r="M38" s="154"/>
      <c r="N38" s="1"/>
      <c r="O38" s="272"/>
      <c r="P38" s="1"/>
    </row>
    <row r="39" spans="2:16" ht="15.75" thickBot="1">
      <c r="B39" s="115" t="s">
        <v>54</v>
      </c>
      <c r="C39" s="116"/>
      <c r="D39" s="116"/>
      <c r="E39" s="116"/>
      <c r="F39" s="116"/>
      <c r="G39" s="116"/>
      <c r="H39" s="117">
        <f>SUM(H35:H38)</f>
        <v>94574.98</v>
      </c>
      <c r="J39" s="91"/>
      <c r="K39" s="91"/>
      <c r="L39" s="91"/>
      <c r="M39" s="91"/>
      <c r="N39" s="91"/>
      <c r="O39" s="272"/>
      <c r="P39" s="1"/>
    </row>
    <row r="40" spans="2:16">
      <c r="J40" s="78"/>
      <c r="K40" s="78"/>
      <c r="L40" s="78"/>
      <c r="M40" s="78"/>
      <c r="N40" s="78"/>
      <c r="O40" s="272"/>
      <c r="P40" s="1"/>
    </row>
    <row r="43" spans="2:16">
      <c r="I43" s="152"/>
    </row>
    <row r="44" spans="2:16">
      <c r="I44" s="152"/>
    </row>
    <row r="45" spans="2:16">
      <c r="I45" s="152"/>
    </row>
    <row r="46" spans="2:16">
      <c r="I46" s="152"/>
    </row>
    <row r="47" spans="2:16">
      <c r="I47" s="152"/>
    </row>
    <row r="48" spans="2:16">
      <c r="I48" s="152"/>
    </row>
    <row r="49" spans="9:9">
      <c r="I49" s="152"/>
    </row>
    <row r="50" spans="9:9">
      <c r="I50" s="152"/>
    </row>
    <row r="51" spans="9:9">
      <c r="I51" s="152"/>
    </row>
    <row r="52" spans="9:9">
      <c r="I52" s="152"/>
    </row>
    <row r="53" spans="9:9">
      <c r="I53" s="152"/>
    </row>
  </sheetData>
  <mergeCells count="33">
    <mergeCell ref="B33:H33"/>
    <mergeCell ref="C34:F34"/>
    <mergeCell ref="C35:F35"/>
    <mergeCell ref="C37:F37"/>
    <mergeCell ref="C38:F38"/>
    <mergeCell ref="C36:F36"/>
    <mergeCell ref="J2:P2"/>
    <mergeCell ref="K3:N3"/>
    <mergeCell ref="J4:J8"/>
    <mergeCell ref="P4:P8"/>
    <mergeCell ref="O38:O40"/>
    <mergeCell ref="J9:J14"/>
    <mergeCell ref="P9:P14"/>
    <mergeCell ref="J15:J17"/>
    <mergeCell ref="O15:O17"/>
    <mergeCell ref="P15:P17"/>
    <mergeCell ref="J25:K25"/>
    <mergeCell ref="L25:N25"/>
    <mergeCell ref="O25:P25"/>
    <mergeCell ref="J26:K28"/>
    <mergeCell ref="L26:N28"/>
    <mergeCell ref="O26:P28"/>
    <mergeCell ref="B27:H27"/>
    <mergeCell ref="C28:F28"/>
    <mergeCell ref="C29:F29"/>
    <mergeCell ref="B3:H3"/>
    <mergeCell ref="C4:F4"/>
    <mergeCell ref="C6:F6"/>
    <mergeCell ref="B19:H19"/>
    <mergeCell ref="C20:F20"/>
    <mergeCell ref="C22:F22"/>
    <mergeCell ref="C21:F21"/>
    <mergeCell ref="C23:F2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2:I8"/>
  <sheetViews>
    <sheetView workbookViewId="0">
      <selection activeCell="I8" sqref="I8"/>
    </sheetView>
  </sheetViews>
  <sheetFormatPr baseColWidth="10" defaultRowHeight="15"/>
  <cols>
    <col min="7" max="7" width="3.42578125" customWidth="1"/>
  </cols>
  <sheetData>
    <row r="2" spans="3:9" ht="15.75" thickBot="1"/>
    <row r="3" spans="3:9" ht="15.75" thickBot="1">
      <c r="C3" s="257" t="s">
        <v>181</v>
      </c>
      <c r="D3" s="264"/>
      <c r="E3" s="264"/>
      <c r="F3" s="264"/>
      <c r="G3" s="264"/>
      <c r="H3" s="264"/>
      <c r="I3" s="265"/>
    </row>
    <row r="4" spans="3:9" ht="15.75" thickBot="1">
      <c r="C4" s="107" t="s">
        <v>56</v>
      </c>
      <c r="D4" s="262" t="s">
        <v>108</v>
      </c>
      <c r="E4" s="262"/>
      <c r="F4" s="262"/>
      <c r="G4" s="262"/>
      <c r="H4" s="108" t="s">
        <v>128</v>
      </c>
      <c r="I4" s="109" t="s">
        <v>129</v>
      </c>
    </row>
    <row r="5" spans="3:9">
      <c r="C5" s="160">
        <v>1</v>
      </c>
      <c r="D5" s="267" t="s">
        <v>182</v>
      </c>
      <c r="E5" s="267"/>
      <c r="F5" s="267"/>
      <c r="G5" s="267"/>
      <c r="H5" s="158"/>
      <c r="I5" s="166">
        <f>'presupuesto turbocompresor'!H39</f>
        <v>94574.98</v>
      </c>
    </row>
    <row r="6" spans="3:9">
      <c r="C6" s="160">
        <v>1</v>
      </c>
      <c r="D6" s="261" t="s">
        <v>183</v>
      </c>
      <c r="E6" s="261"/>
      <c r="F6" s="261"/>
      <c r="G6" s="261"/>
      <c r="H6" s="158"/>
      <c r="I6" s="166">
        <f>'presupuesto final sist control'!H16</f>
        <v>29737</v>
      </c>
    </row>
    <row r="7" spans="3:9" ht="15.75" thickBot="1">
      <c r="C7" s="160"/>
      <c r="D7" s="157"/>
      <c r="E7" s="157"/>
      <c r="F7" s="157" t="s">
        <v>184</v>
      </c>
      <c r="G7" s="157"/>
      <c r="H7" s="168">
        <v>0.21</v>
      </c>
      <c r="I7" s="166">
        <f>(SUM(I5:I6)*21)/100</f>
        <v>26105.515800000001</v>
      </c>
    </row>
    <row r="8" spans="3:9" ht="15.75" thickBot="1">
      <c r="C8" s="115" t="s">
        <v>54</v>
      </c>
      <c r="D8" s="116"/>
      <c r="E8" s="116"/>
      <c r="F8" s="116"/>
      <c r="G8" s="116"/>
      <c r="H8" s="116"/>
      <c r="I8" s="117">
        <f>SUM(I5:I7)</f>
        <v>150417.4958</v>
      </c>
    </row>
  </sheetData>
  <mergeCells count="4">
    <mergeCell ref="C3:I3"/>
    <mergeCell ref="D4:G4"/>
    <mergeCell ref="D5:G5"/>
    <mergeCell ref="D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C2:N17"/>
  <sheetViews>
    <sheetView workbookViewId="0">
      <selection activeCell="C13" sqref="C13:D15"/>
    </sheetView>
  </sheetViews>
  <sheetFormatPr baseColWidth="10" defaultRowHeight="15"/>
  <cols>
    <col min="5" max="5" width="11.85546875" bestFit="1" customWidth="1"/>
    <col min="9" max="9" width="15.7109375" bestFit="1" customWidth="1"/>
    <col min="11" max="11" width="16.85546875" bestFit="1" customWidth="1"/>
    <col min="12" max="12" width="24.85546875" bestFit="1" customWidth="1"/>
    <col min="13" max="13" width="22.42578125" bestFit="1" customWidth="1"/>
    <col min="14" max="14" width="18" bestFit="1" customWidth="1"/>
  </cols>
  <sheetData>
    <row r="2" spans="3:14" ht="15.75" thickBot="1"/>
    <row r="3" spans="3:14" ht="15.75" thickBot="1">
      <c r="C3" s="81"/>
      <c r="D3" s="81"/>
      <c r="E3" s="124" t="s">
        <v>149</v>
      </c>
      <c r="F3" s="129" t="s">
        <v>150</v>
      </c>
      <c r="G3" s="129" t="s">
        <v>151</v>
      </c>
      <c r="H3" s="129" t="s">
        <v>152</v>
      </c>
      <c r="I3" s="125" t="s">
        <v>150</v>
      </c>
      <c r="K3" s="177" t="s">
        <v>214</v>
      </c>
      <c r="L3" s="258" t="s">
        <v>215</v>
      </c>
      <c r="M3" s="258"/>
      <c r="N3" s="184" t="s">
        <v>216</v>
      </c>
    </row>
    <row r="4" spans="3:14" ht="15.75" thickBot="1">
      <c r="C4" s="81"/>
      <c r="D4" s="81"/>
      <c r="E4" s="130" t="s">
        <v>153</v>
      </c>
      <c r="F4" s="131" t="s">
        <v>154</v>
      </c>
      <c r="G4" s="131" t="s">
        <v>155</v>
      </c>
      <c r="H4" s="131" t="s">
        <v>156</v>
      </c>
      <c r="I4" s="132" t="s">
        <v>157</v>
      </c>
      <c r="K4" s="287">
        <v>29737</v>
      </c>
      <c r="L4" s="185" t="s">
        <v>217</v>
      </c>
      <c r="M4" s="109" t="s">
        <v>218</v>
      </c>
      <c r="N4" s="280" t="s">
        <v>219</v>
      </c>
    </row>
    <row r="5" spans="3:14" ht="15.75" thickBot="1">
      <c r="C5" s="282"/>
      <c r="D5" s="282"/>
      <c r="E5" s="130" t="s">
        <v>161</v>
      </c>
      <c r="F5" s="131" t="s">
        <v>160</v>
      </c>
      <c r="G5" s="131" t="s">
        <v>140</v>
      </c>
      <c r="H5" s="131" t="s">
        <v>162</v>
      </c>
      <c r="I5" s="132" t="str">
        <f>'Ahorro Energetico'!H2</f>
        <v>Kg CO2/Kwh</v>
      </c>
      <c r="K5" s="288"/>
      <c r="L5" s="185" t="s">
        <v>220</v>
      </c>
      <c r="M5" s="109" t="s">
        <v>221</v>
      </c>
      <c r="N5" s="281"/>
    </row>
    <row r="6" spans="3:14">
      <c r="C6" s="283" t="s">
        <v>158</v>
      </c>
      <c r="D6" s="284"/>
      <c r="E6" s="134">
        <f>'presupuesto TOTAL'!I5</f>
        <v>94574.98</v>
      </c>
      <c r="F6" s="135">
        <f>'Ahorro Energetico'!B5</f>
        <v>217910.70000000019</v>
      </c>
      <c r="G6" s="135">
        <f>'diferencia economica'!C8</f>
        <v>37044.819000000047</v>
      </c>
      <c r="H6" s="135">
        <f>E6/G6</f>
        <v>2.552988044023103</v>
      </c>
      <c r="I6" s="136">
        <f>'Ahorro Energetico'!H5</f>
        <v>26367.194700000022</v>
      </c>
    </row>
    <row r="7" spans="3:14">
      <c r="C7" s="285" t="s">
        <v>159</v>
      </c>
      <c r="D7" s="286"/>
      <c r="E7" s="126">
        <f>'presupuesto final sist control'!H16</f>
        <v>29737</v>
      </c>
      <c r="F7" s="127">
        <f>[1]Hoja1!$H$17</f>
        <v>108488.64</v>
      </c>
      <c r="G7" s="127">
        <v>24761.7</v>
      </c>
      <c r="H7" s="137">
        <f>E7/G7</f>
        <v>1.2009272384367793</v>
      </c>
      <c r="I7" s="128">
        <f>F7*'Ahorro Energetico'!E3</f>
        <v>13127.12544</v>
      </c>
    </row>
    <row r="8" spans="3:14" ht="15.75" thickBot="1">
      <c r="C8" s="133"/>
      <c r="D8" s="138" t="s">
        <v>54</v>
      </c>
      <c r="E8" s="139">
        <f>'presupuesto TOTAL'!I8</f>
        <v>150417.4958</v>
      </c>
      <c r="F8" s="140">
        <f t="shared" ref="F8:G8" si="0">SUM(F6:F7)</f>
        <v>326399.3400000002</v>
      </c>
      <c r="G8" s="140">
        <f t="shared" si="0"/>
        <v>61806.519000000044</v>
      </c>
      <c r="H8" s="141">
        <f>E8/G8</f>
        <v>2.4336833433379397</v>
      </c>
      <c r="I8" s="142">
        <f>SUM(I6:I7)</f>
        <v>39494.320140000025</v>
      </c>
    </row>
    <row r="9" spans="3:14">
      <c r="C9" s="81"/>
      <c r="D9" s="81"/>
      <c r="E9" s="81"/>
      <c r="F9" s="81"/>
      <c r="G9" s="81"/>
      <c r="H9" s="81"/>
      <c r="I9" s="81"/>
    </row>
    <row r="11" spans="3:14" ht="15.75" thickBot="1"/>
    <row r="12" spans="3:14" ht="15.75" thickBot="1">
      <c r="C12" s="269" t="s">
        <v>142</v>
      </c>
      <c r="D12" s="270"/>
      <c r="E12" s="270" t="s">
        <v>143</v>
      </c>
      <c r="F12" s="270"/>
      <c r="G12" s="270"/>
      <c r="H12" s="270" t="s">
        <v>144</v>
      </c>
      <c r="I12" s="271"/>
    </row>
    <row r="13" spans="3:14">
      <c r="C13" s="275">
        <f>E8</f>
        <v>150417.4958</v>
      </c>
      <c r="D13" s="275"/>
      <c r="E13" s="277">
        <f>(G6+G7)/12</f>
        <v>5150.5432500000034</v>
      </c>
      <c r="F13" s="278"/>
      <c r="G13" s="278"/>
      <c r="H13" s="275" t="s">
        <v>228</v>
      </c>
      <c r="I13" s="275"/>
    </row>
    <row r="14" spans="3:14">
      <c r="C14" s="276"/>
      <c r="D14" s="276"/>
      <c r="E14" s="279"/>
      <c r="F14" s="279"/>
      <c r="G14" s="279"/>
      <c r="H14" s="276"/>
      <c r="I14" s="276"/>
    </row>
    <row r="15" spans="3:14">
      <c r="C15" s="276"/>
      <c r="D15" s="276"/>
      <c r="E15" s="279"/>
      <c r="F15" s="279"/>
      <c r="G15" s="279"/>
      <c r="H15" s="276"/>
      <c r="I15" s="276"/>
    </row>
    <row r="17" spans="6:6">
      <c r="F17" s="186">
        <f>C13/G8</f>
        <v>2.4336833433379397</v>
      </c>
    </row>
  </sheetData>
  <mergeCells count="12">
    <mergeCell ref="C12:D12"/>
    <mergeCell ref="E12:G12"/>
    <mergeCell ref="H12:I12"/>
    <mergeCell ref="C13:D15"/>
    <mergeCell ref="E13:G15"/>
    <mergeCell ref="H13:I15"/>
    <mergeCell ref="N4:N5"/>
    <mergeCell ref="C5:D5"/>
    <mergeCell ref="C6:D6"/>
    <mergeCell ref="C7:D7"/>
    <mergeCell ref="L3:M3"/>
    <mergeCell ref="K4:K5"/>
  </mergeCells>
  <pageMargins left="0.7" right="0.7" top="0.75" bottom="0.75" header="0.3" footer="0.3"/>
  <pageSetup paperSize="9" orientation="portrait" r:id="rId1"/>
  <ignoredErrors>
    <ignoredError sqref="H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6:Q31"/>
  <sheetViews>
    <sheetView topLeftCell="A13" workbookViewId="0">
      <selection activeCell="C22" sqref="C22"/>
    </sheetView>
  </sheetViews>
  <sheetFormatPr baseColWidth="10" defaultRowHeight="15"/>
  <cols>
    <col min="3" max="3" width="12" bestFit="1" customWidth="1"/>
  </cols>
  <sheetData>
    <row r="6" spans="2:3" ht="15.75" thickBot="1"/>
    <row r="7" spans="2:3" ht="15.75" thickBot="1">
      <c r="B7" s="180" t="s">
        <v>185</v>
      </c>
      <c r="C7" s="180" t="s">
        <v>186</v>
      </c>
    </row>
    <row r="8" spans="2:3">
      <c r="B8" s="181">
        <v>1998</v>
      </c>
      <c r="C8" s="178">
        <v>17600</v>
      </c>
    </row>
    <row r="9" spans="2:3">
      <c r="B9" s="182">
        <v>1999</v>
      </c>
      <c r="C9" s="178">
        <v>18253</v>
      </c>
    </row>
    <row r="10" spans="2:3">
      <c r="B10" s="182">
        <v>2000</v>
      </c>
      <c r="C10" s="178">
        <v>18922</v>
      </c>
    </row>
    <row r="11" spans="2:3">
      <c r="B11" s="182">
        <v>2001</v>
      </c>
      <c r="C11" s="178">
        <v>19720</v>
      </c>
    </row>
    <row r="12" spans="2:3">
      <c r="B12" s="182">
        <v>2002</v>
      </c>
      <c r="C12" s="178">
        <v>20965</v>
      </c>
    </row>
    <row r="13" spans="2:3">
      <c r="B13" s="182">
        <v>2003</v>
      </c>
      <c r="C13" s="178">
        <v>22253</v>
      </c>
    </row>
    <row r="14" spans="2:3">
      <c r="B14" s="182">
        <v>2004</v>
      </c>
      <c r="C14" s="178">
        <v>23220</v>
      </c>
    </row>
    <row r="15" spans="2:3">
      <c r="B15" s="182">
        <v>2005</v>
      </c>
      <c r="C15" s="178">
        <v>25494</v>
      </c>
    </row>
    <row r="16" spans="2:3">
      <c r="B16" s="182">
        <v>2006</v>
      </c>
      <c r="C16" s="178">
        <v>27521</v>
      </c>
    </row>
    <row r="17" spans="1:17">
      <c r="B17" s="182">
        <v>2007</v>
      </c>
      <c r="C17" s="178">
        <v>29221</v>
      </c>
    </row>
    <row r="18" spans="1:17">
      <c r="B18" s="182">
        <v>2008</v>
      </c>
      <c r="C18" s="178">
        <v>30987</v>
      </c>
    </row>
    <row r="19" spans="1:17">
      <c r="B19" s="182">
        <v>2009</v>
      </c>
      <c r="C19" s="178">
        <v>31760</v>
      </c>
    </row>
    <row r="20" spans="1:17">
      <c r="B20" s="182">
        <v>2010</v>
      </c>
      <c r="C20" s="178">
        <v>32507</v>
      </c>
    </row>
    <row r="21" spans="1:17">
      <c r="B21" s="182">
        <v>2011</v>
      </c>
      <c r="C21" s="178">
        <v>33372</v>
      </c>
    </row>
    <row r="22" spans="1:17" ht="15.75" thickBot="1">
      <c r="B22" s="183">
        <v>2012</v>
      </c>
      <c r="C22" s="179">
        <v>33965</v>
      </c>
    </row>
    <row r="24" spans="1:17">
      <c r="A24" s="169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7">
      <c r="A25" s="148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</row>
    <row r="26" spans="1:17">
      <c r="D26">
        <f>SLOPE(B8:B22+C8:C22,B8:B22)</f>
        <v>1321.2035714285716</v>
      </c>
    </row>
    <row r="30" spans="1:17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</row>
    <row r="31" spans="1:17"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topLeftCell="A25" workbookViewId="0">
      <selection activeCell="B17" sqref="B17"/>
    </sheetView>
  </sheetViews>
  <sheetFormatPr baseColWidth="10" defaultRowHeight="15"/>
  <sheetData>
    <row r="1" spans="1:9">
      <c r="A1" t="s">
        <v>187</v>
      </c>
    </row>
    <row r="2" spans="1:9" ht="15.75" thickBot="1"/>
    <row r="3" spans="1:9">
      <c r="A3" s="176" t="s">
        <v>188</v>
      </c>
      <c r="B3" s="176"/>
    </row>
    <row r="4" spans="1:9">
      <c r="A4" s="173" t="s">
        <v>189</v>
      </c>
      <c r="B4" s="173">
        <v>0.99077329075617171</v>
      </c>
    </row>
    <row r="5" spans="1:9">
      <c r="A5" s="173" t="s">
        <v>190</v>
      </c>
      <c r="B5" s="173">
        <v>0.98163171367581348</v>
      </c>
    </row>
    <row r="6" spans="1:9">
      <c r="A6" s="173" t="s">
        <v>191</v>
      </c>
      <c r="B6" s="173">
        <v>0.98021876857395296</v>
      </c>
    </row>
    <row r="7" spans="1:9">
      <c r="A7" s="173" t="s">
        <v>192</v>
      </c>
      <c r="B7" s="173">
        <v>838.12399164222722</v>
      </c>
    </row>
    <row r="8" spans="1:9" ht="15.75" thickBot="1">
      <c r="A8" s="174" t="s">
        <v>193</v>
      </c>
      <c r="B8" s="174">
        <v>15</v>
      </c>
    </row>
    <row r="10" spans="1:9" ht="15.75" thickBot="1">
      <c r="A10" t="s">
        <v>194</v>
      </c>
    </row>
    <row r="11" spans="1:9">
      <c r="A11" s="175"/>
      <c r="B11" s="175" t="s">
        <v>198</v>
      </c>
      <c r="C11" s="175" t="s">
        <v>199</v>
      </c>
      <c r="D11" s="175" t="s">
        <v>200</v>
      </c>
      <c r="E11" s="175" t="s">
        <v>201</v>
      </c>
      <c r="F11" s="175" t="s">
        <v>202</v>
      </c>
    </row>
    <row r="12" spans="1:9">
      <c r="A12" s="173" t="s">
        <v>195</v>
      </c>
      <c r="B12" s="173">
        <v>1</v>
      </c>
      <c r="C12" s="173">
        <v>488022491.60357153</v>
      </c>
      <c r="D12" s="173">
        <v>488022491.60357153</v>
      </c>
      <c r="E12" s="173">
        <v>694.74158081814016</v>
      </c>
      <c r="F12" s="173">
        <v>1.1390854305090588E-12</v>
      </c>
    </row>
    <row r="13" spans="1:9">
      <c r="A13" s="173" t="s">
        <v>196</v>
      </c>
      <c r="B13" s="173">
        <v>13</v>
      </c>
      <c r="C13" s="173">
        <v>9131873.7297619022</v>
      </c>
      <c r="D13" s="173">
        <v>702451.82536630018</v>
      </c>
      <c r="E13" s="173"/>
      <c r="F13" s="173"/>
    </row>
    <row r="14" spans="1:9" ht="15.75" thickBot="1">
      <c r="A14" s="174" t="s">
        <v>69</v>
      </c>
      <c r="B14" s="174">
        <v>14</v>
      </c>
      <c r="C14" s="174">
        <v>497154365.33333343</v>
      </c>
      <c r="D14" s="174"/>
      <c r="E14" s="174"/>
      <c r="F14" s="174"/>
    </row>
    <row r="15" spans="1:9" ht="15.75" thickBot="1"/>
    <row r="16" spans="1:9">
      <c r="A16" s="175"/>
      <c r="B16" s="175" t="s">
        <v>203</v>
      </c>
      <c r="C16" s="175" t="s">
        <v>192</v>
      </c>
      <c r="D16" s="175" t="s">
        <v>204</v>
      </c>
      <c r="E16" s="175" t="s">
        <v>205</v>
      </c>
      <c r="F16" s="175" t="s">
        <v>206</v>
      </c>
      <c r="G16" s="175" t="s">
        <v>207</v>
      </c>
      <c r="H16" s="175" t="s">
        <v>208</v>
      </c>
      <c r="I16" s="175" t="s">
        <v>209</v>
      </c>
    </row>
    <row r="17" spans="1:9">
      <c r="A17" s="173" t="s">
        <v>197</v>
      </c>
      <c r="B17" s="173">
        <v>-2621290.8273809524</v>
      </c>
      <c r="C17" s="173">
        <v>100425.64789972434</v>
      </c>
      <c r="D17" s="173">
        <v>-26.101806482725692</v>
      </c>
      <c r="E17" s="173">
        <v>1.2904342596537731E-12</v>
      </c>
      <c r="F17" s="173">
        <v>-2838247.2489852658</v>
      </c>
      <c r="G17" s="173">
        <v>-2404334.405776639</v>
      </c>
      <c r="H17" s="173">
        <v>-2838247.2489852658</v>
      </c>
      <c r="I17" s="173">
        <v>-2404334.405776639</v>
      </c>
    </row>
    <row r="18" spans="1:9" ht="15.75" thickBot="1">
      <c r="A18" s="174" t="s">
        <v>210</v>
      </c>
      <c r="B18" s="174">
        <v>1320.2035714285714</v>
      </c>
      <c r="C18" s="174">
        <v>50.087488649016507</v>
      </c>
      <c r="D18" s="174">
        <v>26.35795099809809</v>
      </c>
      <c r="E18" s="174">
        <v>1.1390854305090588E-12</v>
      </c>
      <c r="F18" s="174">
        <v>1211.9961310813819</v>
      </c>
      <c r="G18" s="174">
        <v>1428.4110117757609</v>
      </c>
      <c r="H18" s="174">
        <v>1211.9961310813819</v>
      </c>
      <c r="I18" s="174">
        <v>1428.4110117757609</v>
      </c>
    </row>
    <row r="22" spans="1:9">
      <c r="A22" t="s">
        <v>211</v>
      </c>
    </row>
    <row r="23" spans="1:9" ht="15.75" thickBot="1"/>
    <row r="24" spans="1:9">
      <c r="A24" s="175" t="s">
        <v>212</v>
      </c>
      <c r="B24" s="175" t="s">
        <v>213</v>
      </c>
      <c r="C24" s="175" t="s">
        <v>196</v>
      </c>
    </row>
    <row r="25" spans="1:9">
      <c r="A25" s="173">
        <v>1</v>
      </c>
      <c r="B25" s="173">
        <v>16475.908333333209</v>
      </c>
      <c r="C25" s="173">
        <v>1124.0916666667908</v>
      </c>
    </row>
    <row r="26" spans="1:9">
      <c r="A26" s="173">
        <v>2</v>
      </c>
      <c r="B26" s="173">
        <v>17796.111904761754</v>
      </c>
      <c r="C26" s="173">
        <v>456.88809523824602</v>
      </c>
    </row>
    <row r="27" spans="1:9">
      <c r="A27" s="173">
        <v>3</v>
      </c>
      <c r="B27" s="173">
        <v>19116.315476190299</v>
      </c>
      <c r="C27" s="173">
        <v>-194.3154761902988</v>
      </c>
    </row>
    <row r="28" spans="1:9">
      <c r="A28" s="173">
        <v>4</v>
      </c>
      <c r="B28" s="173">
        <v>20436.519047618844</v>
      </c>
      <c r="C28" s="173">
        <v>-716.51904761884362</v>
      </c>
    </row>
    <row r="29" spans="1:9">
      <c r="A29" s="173">
        <v>5</v>
      </c>
      <c r="B29" s="173">
        <v>21756.722619047388</v>
      </c>
      <c r="C29" s="173">
        <v>-791.72261904738843</v>
      </c>
    </row>
    <row r="30" spans="1:9">
      <c r="A30" s="173">
        <v>6</v>
      </c>
      <c r="B30" s="173">
        <v>23076.926190475933</v>
      </c>
      <c r="C30" s="173">
        <v>-823.92619047593325</v>
      </c>
    </row>
    <row r="31" spans="1:9">
      <c r="A31" s="173">
        <v>7</v>
      </c>
      <c r="B31" s="173">
        <v>24397.129761904478</v>
      </c>
      <c r="C31" s="173">
        <v>-1177.1297619044781</v>
      </c>
    </row>
    <row r="32" spans="1:9">
      <c r="A32" s="173">
        <v>8</v>
      </c>
      <c r="B32" s="173">
        <v>25717.333333333489</v>
      </c>
      <c r="C32" s="173">
        <v>-223.33333333348855</v>
      </c>
    </row>
    <row r="33" spans="1:3">
      <c r="A33" s="173">
        <v>9</v>
      </c>
      <c r="B33" s="173">
        <v>27037.536904762033</v>
      </c>
      <c r="C33" s="173">
        <v>483.46309523796663</v>
      </c>
    </row>
    <row r="34" spans="1:3">
      <c r="A34" s="173">
        <v>10</v>
      </c>
      <c r="B34" s="173">
        <v>28357.740476190578</v>
      </c>
      <c r="C34" s="173">
        <v>863.25952380942181</v>
      </c>
    </row>
    <row r="35" spans="1:3">
      <c r="A35" s="173">
        <v>11</v>
      </c>
      <c r="B35" s="173">
        <v>29677.944047619123</v>
      </c>
      <c r="C35" s="173">
        <v>1309.055952380877</v>
      </c>
    </row>
    <row r="36" spans="1:3">
      <c r="A36" s="173">
        <v>12</v>
      </c>
      <c r="B36" s="173">
        <v>30998.147619047668</v>
      </c>
      <c r="C36" s="173">
        <v>761.85238095233217</v>
      </c>
    </row>
    <row r="37" spans="1:3">
      <c r="A37" s="173">
        <v>13</v>
      </c>
      <c r="B37" s="173">
        <v>32318.351190476213</v>
      </c>
      <c r="C37" s="173">
        <v>188.64880952378735</v>
      </c>
    </row>
    <row r="38" spans="1:3">
      <c r="A38" s="173">
        <v>14</v>
      </c>
      <c r="B38" s="173">
        <v>33638.554761904757</v>
      </c>
      <c r="C38" s="173">
        <v>-266.55476190475747</v>
      </c>
    </row>
    <row r="39" spans="1:3" ht="15.75" thickBot="1">
      <c r="A39" s="174">
        <v>15</v>
      </c>
      <c r="B39" s="174">
        <v>34958.758333333302</v>
      </c>
      <c r="C39" s="174">
        <v>-993.75833333330229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I17" sqref="I17"/>
    </sheetView>
  </sheetViews>
  <sheetFormatPr baseColWidth="10" defaultRowHeight="15"/>
  <cols>
    <col min="1" max="1" width="18.42578125" customWidth="1"/>
    <col min="2" max="2" width="7.140625" bestFit="1" customWidth="1"/>
    <col min="3" max="3" width="15.42578125" bestFit="1" customWidth="1"/>
    <col min="4" max="4" width="8" customWidth="1"/>
    <col min="5" max="5" width="13.42578125" bestFit="1" customWidth="1"/>
    <col min="6" max="7" width="12.28515625" bestFit="1" customWidth="1"/>
    <col min="9" max="9" width="15.28515625" bestFit="1" customWidth="1"/>
    <col min="10" max="10" width="17.85546875" bestFit="1" customWidth="1"/>
  </cols>
  <sheetData>
    <row r="1" spans="1:10">
      <c r="A1" s="198" t="s">
        <v>52</v>
      </c>
      <c r="B1" s="47" t="s">
        <v>55</v>
      </c>
      <c r="C1" s="47" t="s">
        <v>56</v>
      </c>
      <c r="D1" s="47" t="s">
        <v>58</v>
      </c>
      <c r="E1" s="47" t="s">
        <v>63</v>
      </c>
      <c r="F1" s="47" t="s">
        <v>60</v>
      </c>
      <c r="G1" s="48" t="s">
        <v>60</v>
      </c>
    </row>
    <row r="2" spans="1:10" ht="15.75" thickBot="1">
      <c r="A2" s="200"/>
      <c r="B2" s="49" t="s">
        <v>50</v>
      </c>
      <c r="C2" s="49" t="s">
        <v>57</v>
      </c>
      <c r="D2" s="49" t="s">
        <v>30</v>
      </c>
      <c r="E2" s="49" t="s">
        <v>59</v>
      </c>
      <c r="F2" s="49" t="s">
        <v>61</v>
      </c>
      <c r="G2" s="50" t="s">
        <v>62</v>
      </c>
    </row>
    <row r="3" spans="1:10">
      <c r="A3" s="18" t="s">
        <v>53</v>
      </c>
      <c r="B3" s="51">
        <v>6500</v>
      </c>
      <c r="C3" s="51">
        <v>1</v>
      </c>
      <c r="D3" s="51">
        <v>166.9</v>
      </c>
      <c r="E3" s="51">
        <v>6</v>
      </c>
      <c r="F3" s="51">
        <f>D3*E3</f>
        <v>1001.4000000000001</v>
      </c>
      <c r="G3" s="21">
        <f>F3*62</f>
        <v>62086.8</v>
      </c>
    </row>
    <row r="4" spans="1:10">
      <c r="A4" s="18" t="s">
        <v>53</v>
      </c>
      <c r="B4" s="51">
        <v>5000</v>
      </c>
      <c r="C4" s="51">
        <v>2</v>
      </c>
      <c r="D4" s="51">
        <v>132.4</v>
      </c>
      <c r="E4" s="51">
        <v>18</v>
      </c>
      <c r="F4" s="51">
        <f>D4*E4*2</f>
        <v>4766.4000000000005</v>
      </c>
      <c r="G4" s="21">
        <f>F4*62</f>
        <v>295516.80000000005</v>
      </c>
    </row>
    <row r="5" spans="1:10" ht="15.75" thickBot="1">
      <c r="A5" s="20" t="s">
        <v>54</v>
      </c>
      <c r="B5" s="206"/>
      <c r="C5" s="206"/>
      <c r="D5" s="206"/>
      <c r="E5" s="206"/>
      <c r="F5" s="52">
        <f>F3+F4</f>
        <v>5767.8000000000011</v>
      </c>
      <c r="G5" s="22">
        <f>G4+G3</f>
        <v>357603.60000000003</v>
      </c>
    </row>
    <row r="6" spans="1:10" ht="15.75" thickBot="1">
      <c r="A6" s="205" t="s">
        <v>223</v>
      </c>
      <c r="B6" s="205"/>
      <c r="C6" s="205"/>
    </row>
    <row r="7" spans="1:10">
      <c r="I7" s="207" t="s">
        <v>64</v>
      </c>
      <c r="J7" s="54" t="s">
        <v>65</v>
      </c>
    </row>
    <row r="8" spans="1:10">
      <c r="I8" s="208"/>
      <c r="J8" s="55" t="s">
        <v>66</v>
      </c>
    </row>
    <row r="9" spans="1:10">
      <c r="I9" s="53" t="s">
        <v>67</v>
      </c>
      <c r="J9" s="71">
        <f>G5</f>
        <v>357603.60000000003</v>
      </c>
    </row>
    <row r="10" spans="1:10">
      <c r="I10" s="53" t="s">
        <v>68</v>
      </c>
      <c r="J10" s="71">
        <f>G18</f>
        <v>1083982.5</v>
      </c>
    </row>
    <row r="11" spans="1:10" ht="15.75" thickBot="1">
      <c r="I11" s="56" t="s">
        <v>137</v>
      </c>
      <c r="J11" s="57">
        <f>J9+J10</f>
        <v>1441586.1</v>
      </c>
    </row>
    <row r="12" spans="1:10">
      <c r="I12" s="205" t="s">
        <v>225</v>
      </c>
      <c r="J12" s="205"/>
    </row>
    <row r="13" spans="1:10" ht="15.75" thickBot="1"/>
    <row r="14" spans="1:10">
      <c r="A14" s="198" t="s">
        <v>52</v>
      </c>
      <c r="B14" s="47" t="s">
        <v>55</v>
      </c>
      <c r="C14" s="47" t="s">
        <v>56</v>
      </c>
      <c r="D14" s="47" t="s">
        <v>58</v>
      </c>
      <c r="E14" s="47" t="s">
        <v>63</v>
      </c>
      <c r="F14" s="47" t="s">
        <v>60</v>
      </c>
      <c r="G14" s="48" t="s">
        <v>60</v>
      </c>
    </row>
    <row r="15" spans="1:10" ht="15.75" thickBot="1">
      <c r="A15" s="200"/>
      <c r="B15" s="49" t="s">
        <v>50</v>
      </c>
      <c r="C15" s="49" t="s">
        <v>57</v>
      </c>
      <c r="D15" s="49" t="s">
        <v>30</v>
      </c>
      <c r="E15" s="49" t="s">
        <v>59</v>
      </c>
      <c r="F15" s="49" t="s">
        <v>61</v>
      </c>
      <c r="G15" s="50" t="s">
        <v>222</v>
      </c>
    </row>
    <row r="16" spans="1:10">
      <c r="A16" s="18" t="s">
        <v>53</v>
      </c>
      <c r="B16" s="51">
        <v>6500</v>
      </c>
      <c r="C16" s="51">
        <v>1</v>
      </c>
      <c r="D16" s="51">
        <v>166.9</v>
      </c>
      <c r="E16" s="51">
        <v>18</v>
      </c>
      <c r="F16" s="51">
        <f>D16*E16</f>
        <v>3004.2000000000003</v>
      </c>
      <c r="G16" s="21">
        <f>F16*303</f>
        <v>910272.60000000009</v>
      </c>
    </row>
    <row r="17" spans="1:7">
      <c r="A17" s="18" t="s">
        <v>53</v>
      </c>
      <c r="B17" s="51">
        <v>4288</v>
      </c>
      <c r="C17" s="51">
        <v>1</v>
      </c>
      <c r="D17" s="51">
        <v>117</v>
      </c>
      <c r="E17" s="51">
        <v>4.9000000000000004</v>
      </c>
      <c r="F17" s="51">
        <f>D17*E17</f>
        <v>573.30000000000007</v>
      </c>
      <c r="G17" s="21">
        <f>F17*303</f>
        <v>173709.90000000002</v>
      </c>
    </row>
    <row r="18" spans="1:7" ht="15.75" thickBot="1">
      <c r="A18" s="20" t="s">
        <v>54</v>
      </c>
      <c r="B18" s="206"/>
      <c r="C18" s="206"/>
      <c r="D18" s="206"/>
      <c r="E18" s="206"/>
      <c r="F18" s="52">
        <f>F16+F17</f>
        <v>3577.5000000000005</v>
      </c>
      <c r="G18" s="22">
        <f>G17+G16</f>
        <v>1083982.5</v>
      </c>
    </row>
    <row r="19" spans="1:7">
      <c r="A19" s="205" t="s">
        <v>224</v>
      </c>
      <c r="B19" s="205"/>
      <c r="C19" s="205"/>
    </row>
  </sheetData>
  <mergeCells count="8">
    <mergeCell ref="A19:C19"/>
    <mergeCell ref="I12:J12"/>
    <mergeCell ref="A1:A2"/>
    <mergeCell ref="B5:E5"/>
    <mergeCell ref="A14:A15"/>
    <mergeCell ref="B18:E18"/>
    <mergeCell ref="I7:I8"/>
    <mergeCell ref="A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S16"/>
  <sheetViews>
    <sheetView workbookViewId="0">
      <selection activeCell="J21" sqref="J21"/>
    </sheetView>
  </sheetViews>
  <sheetFormatPr baseColWidth="10" defaultRowHeight="15"/>
  <cols>
    <col min="1" max="1" width="15.5703125" bestFit="1" customWidth="1"/>
    <col min="2" max="2" width="9.85546875" bestFit="1" customWidth="1"/>
    <col min="3" max="3" width="10.5703125" customWidth="1"/>
    <col min="4" max="4" width="9.7109375" customWidth="1"/>
    <col min="5" max="5" width="10.140625" customWidth="1"/>
    <col min="6" max="6" width="10.28515625" customWidth="1"/>
    <col min="7" max="7" width="10" customWidth="1"/>
    <col min="8" max="8" width="10.42578125" customWidth="1"/>
    <col min="10" max="10" width="17.28515625" bestFit="1" customWidth="1"/>
    <col min="12" max="12" width="15.42578125" bestFit="1" customWidth="1"/>
    <col min="14" max="14" width="13.42578125" bestFit="1" customWidth="1"/>
    <col min="15" max="16" width="12.28515625" bestFit="1" customWidth="1"/>
    <col min="18" max="18" width="13" bestFit="1" customWidth="1"/>
    <col min="19" max="19" width="17.85546875" bestFit="1" customWidth="1"/>
  </cols>
  <sheetData>
    <row r="2" spans="1:19" ht="15.75" thickBot="1"/>
    <row r="3" spans="1:19">
      <c r="A3" s="29" t="s">
        <v>44</v>
      </c>
      <c r="B3" s="32" t="s">
        <v>70</v>
      </c>
      <c r="C3" s="59">
        <v>17839</v>
      </c>
      <c r="D3" s="60">
        <v>17864</v>
      </c>
      <c r="E3" s="60">
        <v>18205</v>
      </c>
      <c r="F3" s="60">
        <v>18944</v>
      </c>
      <c r="G3" s="60">
        <v>19864</v>
      </c>
      <c r="H3" s="61">
        <v>20184</v>
      </c>
      <c r="J3" s="198" t="s">
        <v>52</v>
      </c>
      <c r="K3" s="47" t="s">
        <v>55</v>
      </c>
      <c r="L3" s="47" t="s">
        <v>56</v>
      </c>
      <c r="M3" s="47" t="s">
        <v>58</v>
      </c>
      <c r="N3" s="47" t="s">
        <v>63</v>
      </c>
      <c r="O3" s="47" t="s">
        <v>60</v>
      </c>
      <c r="P3" s="48" t="s">
        <v>60</v>
      </c>
      <c r="R3" s="207" t="s">
        <v>64</v>
      </c>
      <c r="S3" s="54" t="s">
        <v>65</v>
      </c>
    </row>
    <row r="4" spans="1:19" ht="15.75" thickBot="1">
      <c r="A4" s="30" t="s">
        <v>27</v>
      </c>
      <c r="B4" s="33" t="s">
        <v>50</v>
      </c>
      <c r="C4" s="35">
        <v>2782</v>
      </c>
      <c r="D4" s="36">
        <v>2894</v>
      </c>
      <c r="E4" s="36">
        <v>3858</v>
      </c>
      <c r="F4" s="36">
        <v>5144</v>
      </c>
      <c r="G4" s="36">
        <v>6430</v>
      </c>
      <c r="H4" s="58">
        <v>6746</v>
      </c>
      <c r="J4" s="200"/>
      <c r="K4" s="49" t="s">
        <v>50</v>
      </c>
      <c r="L4" s="49" t="s">
        <v>57</v>
      </c>
      <c r="M4" s="49" t="s">
        <v>30</v>
      </c>
      <c r="N4" s="49" t="s">
        <v>59</v>
      </c>
      <c r="O4" s="49" t="s">
        <v>61</v>
      </c>
      <c r="P4" s="50" t="s">
        <v>62</v>
      </c>
      <c r="R4" s="208"/>
      <c r="S4" s="55" t="s">
        <v>66</v>
      </c>
    </row>
    <row r="5" spans="1:19">
      <c r="A5" s="30" t="s">
        <v>45</v>
      </c>
      <c r="B5" s="33" t="s">
        <v>50</v>
      </c>
      <c r="C5" s="35">
        <v>2754</v>
      </c>
      <c r="D5" s="36">
        <v>2865</v>
      </c>
      <c r="E5" s="36">
        <v>3819</v>
      </c>
      <c r="F5" s="36">
        <v>5093</v>
      </c>
      <c r="G5" s="36">
        <v>6366</v>
      </c>
      <c r="H5" s="58">
        <v>6679</v>
      </c>
      <c r="J5" s="18" t="s">
        <v>71</v>
      </c>
      <c r="K5" s="51">
        <v>6500</v>
      </c>
      <c r="L5" s="51">
        <v>1</v>
      </c>
      <c r="M5" s="51">
        <v>144.69999999999999</v>
      </c>
      <c r="N5" s="51">
        <v>6</v>
      </c>
      <c r="O5" s="67">
        <f>M5*N5</f>
        <v>868.19999999999993</v>
      </c>
      <c r="P5" s="68">
        <f>O5*62</f>
        <v>53828.399999999994</v>
      </c>
      <c r="R5" s="53" t="s">
        <v>67</v>
      </c>
      <c r="S5" s="71">
        <f>P7</f>
        <v>293768.40000000002</v>
      </c>
    </row>
    <row r="6" spans="1:19">
      <c r="A6" s="30" t="s">
        <v>29</v>
      </c>
      <c r="B6" s="33" t="s">
        <v>30</v>
      </c>
      <c r="C6" s="35">
        <v>56.4</v>
      </c>
      <c r="D6" s="36">
        <v>58.2</v>
      </c>
      <c r="E6" s="36">
        <v>73.599999999999994</v>
      </c>
      <c r="F6" s="36">
        <v>97.1</v>
      </c>
      <c r="G6" s="36">
        <v>125.2</v>
      </c>
      <c r="H6" s="58">
        <v>133.5</v>
      </c>
      <c r="J6" s="18" t="s">
        <v>71</v>
      </c>
      <c r="K6" s="51">
        <v>5000</v>
      </c>
      <c r="L6" s="51">
        <v>2</v>
      </c>
      <c r="M6" s="51">
        <v>107.5</v>
      </c>
      <c r="N6" s="51">
        <v>18</v>
      </c>
      <c r="O6" s="67">
        <f>M6*N6*2</f>
        <v>3870</v>
      </c>
      <c r="P6" s="68">
        <f>O6*62</f>
        <v>239940</v>
      </c>
      <c r="R6" s="53" t="s">
        <v>68</v>
      </c>
      <c r="S6" s="71">
        <f>P15</f>
        <v>929907</v>
      </c>
    </row>
    <row r="7" spans="1:19" ht="15.75" thickBot="1">
      <c r="A7" s="30" t="s">
        <v>47</v>
      </c>
      <c r="B7" s="33" t="s">
        <v>30</v>
      </c>
      <c r="C7" s="38">
        <v>65.8</v>
      </c>
      <c r="D7" s="39">
        <v>67.7</v>
      </c>
      <c r="E7" s="39">
        <v>83.8</v>
      </c>
      <c r="F7" s="39">
        <v>109</v>
      </c>
      <c r="G7" s="39">
        <v>140.4</v>
      </c>
      <c r="H7" s="58">
        <v>150</v>
      </c>
      <c r="J7" s="28" t="s">
        <v>54</v>
      </c>
      <c r="K7" s="206"/>
      <c r="L7" s="206"/>
      <c r="M7" s="206"/>
      <c r="N7" s="206"/>
      <c r="O7" s="69">
        <f>O5+O6</f>
        <v>4738.2</v>
      </c>
      <c r="P7" s="70">
        <f>P6+P5</f>
        <v>293768.40000000002</v>
      </c>
      <c r="R7" s="56" t="s">
        <v>69</v>
      </c>
      <c r="S7" s="57">
        <f>S5+S6</f>
        <v>1223675.3999999999</v>
      </c>
    </row>
    <row r="8" spans="1:19" ht="15.75" thickBot="1">
      <c r="A8" s="62" t="s">
        <v>48</v>
      </c>
      <c r="B8" s="63" t="s">
        <v>51</v>
      </c>
      <c r="C8" s="64">
        <f t="shared" ref="C8:H8" si="0">C7/C5</f>
        <v>2.3892519970951341E-2</v>
      </c>
      <c r="D8" s="65">
        <f t="shared" si="0"/>
        <v>2.363001745200698E-2</v>
      </c>
      <c r="E8" s="65">
        <f t="shared" si="0"/>
        <v>2.194291699397748E-2</v>
      </c>
      <c r="F8" s="65">
        <f t="shared" si="0"/>
        <v>2.1401924209699587E-2</v>
      </c>
      <c r="G8" s="65">
        <f t="shared" si="0"/>
        <v>2.2054665409990577E-2</v>
      </c>
      <c r="H8" s="66">
        <f t="shared" si="0"/>
        <v>2.2458451864051505E-2</v>
      </c>
      <c r="J8" s="205" t="s">
        <v>223</v>
      </c>
      <c r="K8" s="205"/>
      <c r="L8" s="205"/>
    </row>
    <row r="9" spans="1:19">
      <c r="A9" s="205" t="s">
        <v>227</v>
      </c>
      <c r="B9" s="205"/>
      <c r="C9" s="205"/>
    </row>
    <row r="10" spans="1:19" ht="15.75" thickBot="1"/>
    <row r="11" spans="1:19">
      <c r="J11" s="198" t="s">
        <v>52</v>
      </c>
      <c r="K11" s="47" t="s">
        <v>55</v>
      </c>
      <c r="L11" s="47" t="s">
        <v>56</v>
      </c>
      <c r="M11" s="47" t="s">
        <v>58</v>
      </c>
      <c r="N11" s="47" t="s">
        <v>63</v>
      </c>
      <c r="O11" s="47" t="s">
        <v>60</v>
      </c>
      <c r="P11" s="48" t="s">
        <v>60</v>
      </c>
    </row>
    <row r="12" spans="1:19" ht="15.75" thickBot="1">
      <c r="J12" s="200"/>
      <c r="K12" s="49" t="s">
        <v>50</v>
      </c>
      <c r="L12" s="49" t="s">
        <v>57</v>
      </c>
      <c r="M12" s="49" t="s">
        <v>30</v>
      </c>
      <c r="N12" s="49" t="s">
        <v>59</v>
      </c>
      <c r="O12" s="49" t="s">
        <v>61</v>
      </c>
      <c r="P12" s="50" t="s">
        <v>226</v>
      </c>
    </row>
    <row r="13" spans="1:19">
      <c r="J13" s="18" t="s">
        <v>71</v>
      </c>
      <c r="K13" s="51">
        <v>6500</v>
      </c>
      <c r="L13" s="51">
        <v>1</v>
      </c>
      <c r="M13" s="51">
        <v>144.69999999999999</v>
      </c>
      <c r="N13" s="51">
        <v>18</v>
      </c>
      <c r="O13" s="67">
        <f>M13*N13</f>
        <v>2604.6</v>
      </c>
      <c r="P13" s="68">
        <f>O13*303</f>
        <v>789193.79999999993</v>
      </c>
    </row>
    <row r="14" spans="1:19">
      <c r="J14" s="18" t="s">
        <v>71</v>
      </c>
      <c r="K14" s="51">
        <v>3500</v>
      </c>
      <c r="L14" s="51">
        <v>1</v>
      </c>
      <c r="M14" s="51">
        <v>77.400000000000006</v>
      </c>
      <c r="N14" s="51">
        <v>6</v>
      </c>
      <c r="O14" s="67">
        <f>M14*N14</f>
        <v>464.40000000000003</v>
      </c>
      <c r="P14" s="68">
        <f>O14*303</f>
        <v>140713.20000000001</v>
      </c>
    </row>
    <row r="15" spans="1:19" ht="15.75" thickBot="1">
      <c r="J15" s="28" t="s">
        <v>54</v>
      </c>
      <c r="K15" s="206"/>
      <c r="L15" s="206"/>
      <c r="M15" s="206"/>
      <c r="N15" s="206"/>
      <c r="O15" s="69">
        <f>O13+O14</f>
        <v>3069</v>
      </c>
      <c r="P15" s="70">
        <f>P14+P13</f>
        <v>929907</v>
      </c>
    </row>
    <row r="16" spans="1:19">
      <c r="J16" s="205" t="s">
        <v>224</v>
      </c>
      <c r="K16" s="205"/>
      <c r="L16" s="205"/>
    </row>
  </sheetData>
  <mergeCells count="8">
    <mergeCell ref="J16:L16"/>
    <mergeCell ref="J8:L8"/>
    <mergeCell ref="A9:C9"/>
    <mergeCell ref="R3:R4"/>
    <mergeCell ref="J3:J4"/>
    <mergeCell ref="K7:N7"/>
    <mergeCell ref="J11:J12"/>
    <mergeCell ref="K15:N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F7:S27"/>
  <sheetViews>
    <sheetView topLeftCell="G10" zoomScale="120" zoomScaleNormal="120" workbookViewId="0">
      <selection activeCell="M5" sqref="M5"/>
    </sheetView>
  </sheetViews>
  <sheetFormatPr baseColWidth="10" defaultRowHeight="15"/>
  <sheetData>
    <row r="7" spans="15:19">
      <c r="P7" t="s">
        <v>133</v>
      </c>
      <c r="Q7" t="s">
        <v>134</v>
      </c>
      <c r="R7" t="s">
        <v>135</v>
      </c>
      <c r="S7" t="s">
        <v>136</v>
      </c>
    </row>
    <row r="9" spans="15:19">
      <c r="O9">
        <v>1000</v>
      </c>
    </row>
    <row r="10" spans="15:19">
      <c r="O10">
        <v>1800</v>
      </c>
      <c r="R10">
        <v>35</v>
      </c>
    </row>
    <row r="11" spans="15:19">
      <c r="O11">
        <v>3000</v>
      </c>
      <c r="Q11">
        <v>70</v>
      </c>
      <c r="R11">
        <v>65</v>
      </c>
    </row>
    <row r="12" spans="15:19">
      <c r="O12">
        <v>4000</v>
      </c>
      <c r="Q12">
        <v>85</v>
      </c>
      <c r="R12">
        <v>80</v>
      </c>
    </row>
    <row r="13" spans="15:19">
      <c r="O13">
        <v>4500</v>
      </c>
      <c r="P13">
        <v>112</v>
      </c>
      <c r="Q13">
        <v>94</v>
      </c>
      <c r="R13">
        <v>88</v>
      </c>
    </row>
    <row r="14" spans="15:19">
      <c r="O14">
        <v>5000</v>
      </c>
      <c r="P14">
        <v>130</v>
      </c>
      <c r="Q14">
        <v>108</v>
      </c>
      <c r="R14">
        <v>100</v>
      </c>
    </row>
    <row r="15" spans="15:19">
      <c r="O15">
        <v>6000</v>
      </c>
      <c r="P15">
        <v>155</v>
      </c>
      <c r="Q15">
        <v>125</v>
      </c>
      <c r="R15">
        <v>115</v>
      </c>
      <c r="S15">
        <v>126</v>
      </c>
    </row>
    <row r="16" spans="15:19">
      <c r="O16">
        <v>7000</v>
      </c>
      <c r="P16">
        <v>183</v>
      </c>
      <c r="Q16">
        <v>150</v>
      </c>
      <c r="R16">
        <v>150</v>
      </c>
      <c r="S16">
        <v>142</v>
      </c>
    </row>
    <row r="17" spans="6:19">
      <c r="O17">
        <v>8000</v>
      </c>
      <c r="P17">
        <v>212</v>
      </c>
      <c r="Q17">
        <v>170</v>
      </c>
      <c r="R17">
        <v>160</v>
      </c>
      <c r="S17">
        <v>159</v>
      </c>
    </row>
    <row r="18" spans="6:19">
      <c r="O18">
        <v>9000</v>
      </c>
      <c r="P18">
        <v>236</v>
      </c>
      <c r="Q18">
        <v>190</v>
      </c>
      <c r="R18">
        <v>180</v>
      </c>
      <c r="S18">
        <v>175</v>
      </c>
    </row>
    <row r="19" spans="6:19">
      <c r="O19">
        <v>10000</v>
      </c>
      <c r="P19">
        <v>265</v>
      </c>
      <c r="Q19">
        <v>212</v>
      </c>
      <c r="R19">
        <v>200</v>
      </c>
      <c r="S19">
        <v>190</v>
      </c>
    </row>
    <row r="20" spans="6:19">
      <c r="O20">
        <v>11000</v>
      </c>
      <c r="P20">
        <v>285</v>
      </c>
      <c r="Q20">
        <v>238</v>
      </c>
      <c r="R20">
        <v>225</v>
      </c>
      <c r="S20">
        <v>214</v>
      </c>
    </row>
    <row r="21" spans="6:19">
      <c r="O21">
        <v>12000</v>
      </c>
      <c r="P21">
        <v>312</v>
      </c>
      <c r="Q21">
        <v>265</v>
      </c>
      <c r="R21">
        <v>250</v>
      </c>
      <c r="S21">
        <v>240</v>
      </c>
    </row>
    <row r="22" spans="6:19">
      <c r="O22">
        <v>13000</v>
      </c>
      <c r="P22">
        <v>340</v>
      </c>
      <c r="Q22">
        <v>280</v>
      </c>
      <c r="R22">
        <v>270</v>
      </c>
      <c r="S22">
        <v>260</v>
      </c>
    </row>
    <row r="23" spans="6:19">
      <c r="O23">
        <v>13500</v>
      </c>
      <c r="P23">
        <v>355</v>
      </c>
      <c r="Q23">
        <v>300</v>
      </c>
      <c r="R23">
        <v>290</v>
      </c>
      <c r="S23">
        <v>279</v>
      </c>
    </row>
    <row r="24" spans="6:19">
      <c r="O24">
        <v>14000</v>
      </c>
      <c r="P24">
        <v>370</v>
      </c>
      <c r="R24">
        <v>320</v>
      </c>
      <c r="S24">
        <v>291</v>
      </c>
    </row>
    <row r="25" spans="6:19">
      <c r="F25">
        <v>14500</v>
      </c>
      <c r="O25">
        <v>14500</v>
      </c>
      <c r="P25">
        <v>382</v>
      </c>
      <c r="R25">
        <v>345</v>
      </c>
      <c r="S25">
        <v>300</v>
      </c>
    </row>
    <row r="26" spans="6:19">
      <c r="O26">
        <v>15100</v>
      </c>
      <c r="P26">
        <v>400</v>
      </c>
    </row>
    <row r="27" spans="6:19">
      <c r="O27">
        <v>16000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"/>
  <sheetViews>
    <sheetView zoomScaleNormal="100" workbookViewId="0">
      <selection activeCell="B5" sqref="B5"/>
    </sheetView>
  </sheetViews>
  <sheetFormatPr baseColWidth="10" defaultRowHeight="15"/>
  <cols>
    <col min="1" max="1" width="17.28515625" bestFit="1" customWidth="1"/>
    <col min="2" max="2" width="17.85546875" bestFit="1" customWidth="1"/>
    <col min="7" max="7" width="17.28515625" bestFit="1" customWidth="1"/>
    <col min="8" max="8" width="17.85546875" bestFit="1" customWidth="1"/>
  </cols>
  <sheetData>
    <row r="1" spans="1:8">
      <c r="A1" s="207" t="s">
        <v>52</v>
      </c>
      <c r="B1" s="54" t="s">
        <v>65</v>
      </c>
      <c r="G1" s="207" t="s">
        <v>52</v>
      </c>
      <c r="H1" s="54" t="s">
        <v>148</v>
      </c>
    </row>
    <row r="2" spans="1:8">
      <c r="A2" s="208"/>
      <c r="B2" s="55" t="s">
        <v>72</v>
      </c>
      <c r="G2" s="208"/>
      <c r="H2" s="55" t="s">
        <v>147</v>
      </c>
    </row>
    <row r="3" spans="1:8">
      <c r="A3" s="18" t="s">
        <v>53</v>
      </c>
      <c r="B3" s="71">
        <f>'consumo soplantes'!J11</f>
        <v>1441586.1</v>
      </c>
      <c r="D3" s="122" t="s">
        <v>146</v>
      </c>
      <c r="E3" s="123">
        <v>0.121</v>
      </c>
      <c r="G3" s="18" t="s">
        <v>53</v>
      </c>
      <c r="H3" s="71">
        <f>B3*E3</f>
        <v>174431.91810000001</v>
      </c>
    </row>
    <row r="4" spans="1:8">
      <c r="A4" s="18" t="s">
        <v>71</v>
      </c>
      <c r="B4" s="71">
        <f>'consumo turboc.'!S7</f>
        <v>1223675.3999999999</v>
      </c>
      <c r="G4" s="18" t="s">
        <v>71</v>
      </c>
      <c r="H4" s="71">
        <f>B4*E3</f>
        <v>148064.72339999999</v>
      </c>
    </row>
    <row r="5" spans="1:8" ht="15.75" thickBot="1">
      <c r="A5" s="56" t="s">
        <v>145</v>
      </c>
      <c r="B5" s="57">
        <f>B3-B4</f>
        <v>217910.70000000019</v>
      </c>
      <c r="G5" s="56" t="s">
        <v>145</v>
      </c>
      <c r="H5" s="57">
        <f>B5*E3</f>
        <v>26367.194700000022</v>
      </c>
    </row>
  </sheetData>
  <mergeCells count="2">
    <mergeCell ref="A1:A2"/>
    <mergeCell ref="G1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8"/>
  <sheetViews>
    <sheetView workbookViewId="0">
      <selection activeCell="I3" sqref="I3"/>
    </sheetView>
  </sheetViews>
  <sheetFormatPr baseColWidth="10" defaultRowHeight="15"/>
  <cols>
    <col min="2" max="2" width="17.28515625" bestFit="1" customWidth="1"/>
    <col min="3" max="3" width="17.85546875" bestFit="1" customWidth="1"/>
  </cols>
  <sheetData>
    <row r="1" spans="2:7" ht="15.75" thickBot="1"/>
    <row r="2" spans="2:7" ht="15.75" thickBot="1">
      <c r="E2" s="118" t="s">
        <v>139</v>
      </c>
      <c r="F2" s="119"/>
      <c r="G2" s="120">
        <v>0.17</v>
      </c>
    </row>
    <row r="3" spans="2:7" ht="15.75" thickBot="1"/>
    <row r="4" spans="2:7">
      <c r="B4" s="207" t="s">
        <v>52</v>
      </c>
      <c r="C4" s="54" t="s">
        <v>138</v>
      </c>
    </row>
    <row r="5" spans="2:7">
      <c r="B5" s="208"/>
      <c r="C5" s="55" t="s">
        <v>140</v>
      </c>
    </row>
    <row r="6" spans="2:7">
      <c r="B6" s="18" t="s">
        <v>53</v>
      </c>
      <c r="C6" s="71">
        <f>'Ahorro Energetico'!B3*'diferencia economica'!G2</f>
        <v>245069.63700000005</v>
      </c>
    </row>
    <row r="7" spans="2:7">
      <c r="B7" s="18" t="s">
        <v>71</v>
      </c>
      <c r="C7" s="71">
        <f>'Ahorro Energetico'!B4*'diferencia economica'!G2</f>
        <v>208024.818</v>
      </c>
    </row>
    <row r="8" spans="2:7" ht="15.75" thickBot="1">
      <c r="B8" s="56" t="s">
        <v>141</v>
      </c>
      <c r="C8" s="121">
        <f>C6-C7</f>
        <v>37044.819000000047</v>
      </c>
    </row>
  </sheetData>
  <mergeCells count="1">
    <mergeCell ref="B4:B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3:I46"/>
  <sheetViews>
    <sheetView tabSelected="1" topLeftCell="B1" workbookViewId="0">
      <selection activeCell="M17" sqref="M17"/>
    </sheetView>
  </sheetViews>
  <sheetFormatPr baseColWidth="10" defaultRowHeight="15"/>
  <sheetData>
    <row r="3" spans="3:9" ht="15.75" thickBot="1"/>
    <row r="4" spans="3:9" ht="15.75" thickBot="1">
      <c r="C4" s="209" t="s">
        <v>73</v>
      </c>
      <c r="D4" s="210"/>
      <c r="E4" s="210"/>
      <c r="F4" s="210"/>
      <c r="G4" s="210"/>
      <c r="H4" s="210"/>
      <c r="I4" s="211"/>
    </row>
    <row r="5" spans="3:9" ht="24.75" customHeight="1">
      <c r="C5" s="72" t="s">
        <v>74</v>
      </c>
      <c r="D5" s="73"/>
      <c r="E5" s="73"/>
      <c r="F5" s="73"/>
      <c r="G5" s="73"/>
      <c r="H5" s="73"/>
      <c r="I5" s="74" t="s">
        <v>79</v>
      </c>
    </row>
    <row r="6" spans="3:9" ht="24.75" customHeight="1">
      <c r="C6" s="76" t="s">
        <v>80</v>
      </c>
      <c r="D6" s="75"/>
      <c r="E6" s="75"/>
      <c r="F6" s="75"/>
      <c r="G6" s="75"/>
      <c r="H6" s="75"/>
      <c r="I6" s="94">
        <v>70</v>
      </c>
    </row>
    <row r="7" spans="3:9" ht="24.75" customHeight="1">
      <c r="C7" s="76" t="s">
        <v>77</v>
      </c>
      <c r="D7" s="75"/>
      <c r="E7" s="75"/>
      <c r="F7" s="75"/>
      <c r="G7" s="75"/>
      <c r="H7" s="75"/>
      <c r="I7" s="94">
        <v>1745</v>
      </c>
    </row>
    <row r="8" spans="3:9" ht="24.75" customHeight="1">
      <c r="C8" s="76" t="s">
        <v>75</v>
      </c>
      <c r="D8" s="75"/>
      <c r="E8" s="75"/>
      <c r="F8" s="75"/>
      <c r="G8" s="75"/>
      <c r="H8" s="75"/>
      <c r="I8" s="94">
        <v>3690</v>
      </c>
    </row>
    <row r="9" spans="3:9" ht="24.75" customHeight="1" thickBot="1">
      <c r="C9" s="77" t="s">
        <v>76</v>
      </c>
      <c r="D9" s="78"/>
      <c r="E9" s="78"/>
      <c r="F9" s="78"/>
      <c r="G9" s="78"/>
      <c r="H9" s="78"/>
      <c r="I9" s="87">
        <v>1040</v>
      </c>
    </row>
    <row r="10" spans="3:9" ht="24.75" customHeight="1" thickBot="1">
      <c r="C10" s="79" t="s">
        <v>78</v>
      </c>
      <c r="D10" s="80"/>
      <c r="E10" s="80"/>
      <c r="F10" s="80"/>
      <c r="G10" s="80"/>
      <c r="H10" s="80"/>
      <c r="I10" s="95">
        <f>SUM(I6:I9)</f>
        <v>6545</v>
      </c>
    </row>
    <row r="12" spans="3:9" ht="15.75" thickBot="1"/>
    <row r="13" spans="3:9" ht="15.75" thickBot="1">
      <c r="C13" s="209" t="s">
        <v>81</v>
      </c>
      <c r="D13" s="210"/>
      <c r="E13" s="210"/>
      <c r="F13" s="210"/>
      <c r="G13" s="210"/>
      <c r="H13" s="210"/>
      <c r="I13" s="211"/>
    </row>
    <row r="14" spans="3:9" s="81" customFormat="1" ht="24.75" customHeight="1">
      <c r="C14" s="72" t="s">
        <v>74</v>
      </c>
      <c r="D14" s="73"/>
      <c r="E14" s="73"/>
      <c r="F14" s="73"/>
      <c r="G14" s="73"/>
      <c r="H14" s="73"/>
      <c r="I14" s="74" t="s">
        <v>79</v>
      </c>
    </row>
    <row r="15" spans="3:9" ht="24.75" customHeight="1">
      <c r="C15" s="212" t="s">
        <v>82</v>
      </c>
      <c r="D15" s="213"/>
      <c r="E15" s="213"/>
      <c r="F15" s="213"/>
      <c r="G15" s="213"/>
      <c r="H15" s="1"/>
      <c r="I15" s="218">
        <v>14950</v>
      </c>
    </row>
    <row r="16" spans="3:9" ht="24.75" customHeight="1">
      <c r="C16" s="214" t="s">
        <v>83</v>
      </c>
      <c r="D16" s="215"/>
      <c r="E16" s="215"/>
      <c r="F16" s="215"/>
      <c r="G16" s="215"/>
      <c r="H16" s="215"/>
      <c r="I16" s="219"/>
    </row>
    <row r="17" spans="3:9" ht="24.75" customHeight="1">
      <c r="C17" s="212" t="s">
        <v>84</v>
      </c>
      <c r="D17" s="213"/>
      <c r="E17" s="213"/>
      <c r="F17" s="213"/>
      <c r="G17" s="213"/>
      <c r="H17" s="1"/>
      <c r="I17" s="219"/>
    </row>
    <row r="18" spans="3:9" ht="24.75" customHeight="1" thickBot="1">
      <c r="C18" s="216" t="s">
        <v>85</v>
      </c>
      <c r="D18" s="217"/>
      <c r="E18" s="217"/>
      <c r="F18" s="217"/>
      <c r="G18" s="217"/>
      <c r="H18" s="1"/>
      <c r="I18" s="220"/>
    </row>
    <row r="19" spans="3:9" ht="15.75" thickBot="1">
      <c r="C19" s="82" t="s">
        <v>86</v>
      </c>
      <c r="D19" s="83"/>
      <c r="E19" s="83"/>
      <c r="F19" s="83"/>
      <c r="G19" s="83"/>
      <c r="H19" s="83"/>
      <c r="I19" s="86">
        <f>I15</f>
        <v>14950</v>
      </c>
    </row>
    <row r="21" spans="3:9" ht="15.75" thickBot="1"/>
    <row r="22" spans="3:9" ht="15.75" thickBot="1">
      <c r="C22" s="209" t="s">
        <v>87</v>
      </c>
      <c r="D22" s="210"/>
      <c r="E22" s="210"/>
      <c r="F22" s="210"/>
      <c r="G22" s="210"/>
      <c r="H22" s="210"/>
      <c r="I22" s="211"/>
    </row>
    <row r="23" spans="3:9" ht="24.75" customHeight="1">
      <c r="C23" s="72" t="s">
        <v>74</v>
      </c>
      <c r="D23" s="24"/>
      <c r="E23" s="24"/>
      <c r="F23" s="24"/>
      <c r="G23" s="24"/>
      <c r="H23" s="24"/>
      <c r="I23" s="74" t="s">
        <v>79</v>
      </c>
    </row>
    <row r="24" spans="3:9" ht="24.75" customHeight="1">
      <c r="C24" s="212" t="s">
        <v>88</v>
      </c>
      <c r="D24" s="213"/>
      <c r="E24" s="213"/>
      <c r="F24" s="1"/>
      <c r="G24" s="1"/>
      <c r="H24" s="1"/>
      <c r="I24" s="3"/>
    </row>
    <row r="25" spans="3:9">
      <c r="C25" s="18"/>
      <c r="D25" s="188" t="s">
        <v>89</v>
      </c>
      <c r="E25" s="188"/>
      <c r="F25" s="188"/>
      <c r="G25" s="188"/>
      <c r="H25" s="188"/>
      <c r="I25" s="221">
        <v>1330</v>
      </c>
    </row>
    <row r="26" spans="3:9">
      <c r="C26" s="18"/>
      <c r="D26" s="1" t="s">
        <v>90</v>
      </c>
      <c r="E26" s="1"/>
      <c r="F26" s="1"/>
      <c r="G26" s="1"/>
      <c r="H26" s="1"/>
      <c r="I26" s="221"/>
    </row>
    <row r="27" spans="3:9">
      <c r="C27" s="18"/>
      <c r="D27" s="1" t="s">
        <v>91</v>
      </c>
      <c r="E27" s="1"/>
      <c r="F27" s="1"/>
      <c r="G27" s="1"/>
      <c r="H27" s="1"/>
      <c r="I27" s="221"/>
    </row>
    <row r="28" spans="3:9">
      <c r="C28" s="18"/>
      <c r="D28" s="1" t="s">
        <v>92</v>
      </c>
      <c r="E28" s="1"/>
      <c r="F28" s="1"/>
      <c r="G28" s="1"/>
      <c r="H28" s="1"/>
      <c r="I28" s="221"/>
    </row>
    <row r="29" spans="3:9" s="81" customFormat="1" ht="24.75" customHeight="1" thickBot="1">
      <c r="C29" s="84" t="s">
        <v>93</v>
      </c>
      <c r="D29" s="85"/>
      <c r="E29" s="85"/>
      <c r="F29" s="85"/>
      <c r="G29" s="85"/>
      <c r="H29" s="85"/>
      <c r="I29" s="93">
        <f>I25</f>
        <v>1330</v>
      </c>
    </row>
    <row r="31" spans="3:9" ht="15.75" thickBot="1"/>
    <row r="32" spans="3:9" ht="15.75" thickBot="1">
      <c r="C32" s="209" t="s">
        <v>94</v>
      </c>
      <c r="D32" s="210"/>
      <c r="E32" s="210"/>
      <c r="F32" s="210"/>
      <c r="G32" s="210"/>
      <c r="H32" s="210"/>
      <c r="I32" s="211"/>
    </row>
    <row r="33" spans="3:9" ht="15.75" thickBot="1">
      <c r="C33" s="72" t="s">
        <v>74</v>
      </c>
      <c r="D33" s="73"/>
      <c r="E33" s="73"/>
      <c r="F33" s="73"/>
      <c r="G33" s="73"/>
      <c r="H33" s="73"/>
      <c r="I33" s="89" t="s">
        <v>79</v>
      </c>
    </row>
    <row r="34" spans="3:9" ht="24.75" customHeight="1">
      <c r="C34" s="226" t="s">
        <v>95</v>
      </c>
      <c r="D34" s="227"/>
      <c r="E34" s="227"/>
      <c r="F34" s="227"/>
      <c r="G34" s="227"/>
      <c r="H34" s="88"/>
      <c r="I34" s="224">
        <v>1240</v>
      </c>
    </row>
    <row r="35" spans="3:9">
      <c r="C35" s="212" t="s">
        <v>96</v>
      </c>
      <c r="D35" s="213"/>
      <c r="E35" s="213"/>
      <c r="F35" s="213"/>
      <c r="G35" s="213"/>
      <c r="H35" s="213"/>
      <c r="I35" s="225"/>
    </row>
    <row r="36" spans="3:9">
      <c r="C36" s="214" t="s">
        <v>97</v>
      </c>
      <c r="D36" s="215"/>
      <c r="E36" s="215"/>
      <c r="F36" s="215"/>
      <c r="G36" s="215"/>
      <c r="H36" s="215"/>
      <c r="I36" s="225"/>
    </row>
    <row r="37" spans="3:9" ht="24.75" customHeight="1">
      <c r="C37" s="226" t="s">
        <v>98</v>
      </c>
      <c r="D37" s="227"/>
      <c r="E37" s="227"/>
      <c r="F37" s="227"/>
      <c r="G37" s="227"/>
      <c r="H37" s="227"/>
      <c r="I37" s="225"/>
    </row>
    <row r="38" spans="3:9">
      <c r="C38" s="216" t="s">
        <v>99</v>
      </c>
      <c r="D38" s="217"/>
      <c r="E38" s="217"/>
      <c r="F38" s="217"/>
      <c r="G38" s="217"/>
      <c r="H38" s="217"/>
      <c r="I38" s="225"/>
    </row>
    <row r="39" spans="3:9">
      <c r="C39" s="214" t="s">
        <v>100</v>
      </c>
      <c r="D39" s="215"/>
      <c r="E39" s="215"/>
      <c r="F39" s="215"/>
      <c r="G39" s="215"/>
      <c r="H39" s="215"/>
      <c r="I39" s="225"/>
    </row>
    <row r="40" spans="3:9" ht="24.75" customHeight="1">
      <c r="C40" s="226" t="s">
        <v>101</v>
      </c>
      <c r="D40" s="227"/>
      <c r="E40" s="227"/>
      <c r="F40" s="227"/>
      <c r="G40" s="227"/>
      <c r="H40" s="227"/>
      <c r="I40" s="225"/>
    </row>
    <row r="41" spans="3:9">
      <c r="C41" s="216" t="s">
        <v>102</v>
      </c>
      <c r="D41" s="217"/>
      <c r="E41" s="217"/>
      <c r="F41" s="217"/>
      <c r="G41" s="217"/>
      <c r="H41" s="217"/>
      <c r="I41" s="225"/>
    </row>
    <row r="42" spans="3:9">
      <c r="C42" s="216" t="s">
        <v>103</v>
      </c>
      <c r="D42" s="217"/>
      <c r="E42" s="217"/>
      <c r="F42" s="217"/>
      <c r="G42" s="217"/>
      <c r="H42" s="217"/>
      <c r="I42" s="225"/>
    </row>
    <row r="43" spans="3:9" ht="24.75" customHeight="1">
      <c r="C43" s="226" t="s">
        <v>104</v>
      </c>
      <c r="D43" s="227"/>
      <c r="E43" s="227"/>
      <c r="F43" s="227"/>
      <c r="G43" s="227"/>
      <c r="H43" s="88"/>
      <c r="I43" s="225"/>
    </row>
    <row r="44" spans="3:9">
      <c r="C44" s="216" t="s">
        <v>105</v>
      </c>
      <c r="D44" s="217"/>
      <c r="E44" s="217"/>
      <c r="F44" s="217"/>
      <c r="G44" s="217"/>
      <c r="H44" s="217"/>
      <c r="I44" s="225"/>
    </row>
    <row r="45" spans="3:9" ht="15.75" thickBot="1">
      <c r="C45" s="222" t="s">
        <v>106</v>
      </c>
      <c r="D45" s="223"/>
      <c r="E45" s="223"/>
      <c r="F45" s="223"/>
      <c r="G45" s="223"/>
      <c r="H45" s="223"/>
      <c r="I45" s="225"/>
    </row>
    <row r="46" spans="3:9" s="81" customFormat="1" ht="24.75" customHeight="1" thickBot="1">
      <c r="C46" s="79" t="s">
        <v>86</v>
      </c>
      <c r="D46" s="80"/>
      <c r="E46" s="80"/>
      <c r="F46" s="80"/>
      <c r="G46" s="80"/>
      <c r="H46" s="80"/>
      <c r="I46" s="92">
        <f>I34</f>
        <v>1240</v>
      </c>
    </row>
  </sheetData>
  <mergeCells count="25">
    <mergeCell ref="C44:H44"/>
    <mergeCell ref="C45:H45"/>
    <mergeCell ref="I34:I45"/>
    <mergeCell ref="C34:G34"/>
    <mergeCell ref="C36:H36"/>
    <mergeCell ref="C43:G43"/>
    <mergeCell ref="C35:H35"/>
    <mergeCell ref="C37:H37"/>
    <mergeCell ref="C38:H38"/>
    <mergeCell ref="C39:H39"/>
    <mergeCell ref="C40:H40"/>
    <mergeCell ref="C41:H41"/>
    <mergeCell ref="C42:H42"/>
    <mergeCell ref="C4:I4"/>
    <mergeCell ref="C13:I13"/>
    <mergeCell ref="C15:G15"/>
    <mergeCell ref="C16:H16"/>
    <mergeCell ref="C32:I32"/>
    <mergeCell ref="C17:G17"/>
    <mergeCell ref="C18:G18"/>
    <mergeCell ref="I15:I18"/>
    <mergeCell ref="C22:I22"/>
    <mergeCell ref="D25:H25"/>
    <mergeCell ref="C24:E24"/>
    <mergeCell ref="I25:I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caract. soplantes</vt:lpstr>
      <vt:lpstr>censo población</vt:lpstr>
      <vt:lpstr>curva regresión censo</vt:lpstr>
      <vt:lpstr>consumo soplantes</vt:lpstr>
      <vt:lpstr>consumo turboc.</vt:lpstr>
      <vt:lpstr>Soplantes vs turbo</vt:lpstr>
      <vt:lpstr>Ahorro Energetico</vt:lpstr>
      <vt:lpstr>diferencia economica</vt:lpstr>
      <vt:lpstr>Presupuesto plataforma</vt:lpstr>
      <vt:lpstr>Presupuesto equipos de medida</vt:lpstr>
      <vt:lpstr>presupuesto final sist control</vt:lpstr>
      <vt:lpstr>presupuesto turbocompresor</vt:lpstr>
      <vt:lpstr>presupuesto TOTAL</vt:lpstr>
      <vt:lpstr>periodo retorno total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2013-04-30T10:52:30Z</dcterms:created>
  <dcterms:modified xsi:type="dcterms:W3CDTF">2013-08-20T15:55:05Z</dcterms:modified>
</cp:coreProperties>
</file>